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0"/>
  </bookViews>
  <sheets>
    <sheet name="Fuente" sheetId="1" r:id="rId1"/>
  </sheets>
  <definedNames>
    <definedName name="_xlnm._FilterDatabase" localSheetId="0" hidden="1">'Fuente'!$A$1:$FH$197</definedName>
    <definedName name="_xlnm.Print_Area" localSheetId="0">'Fuente'!$A$1:$CC$192</definedName>
  </definedNames>
  <calcPr fullCalcOnLoad="1"/>
</workbook>
</file>

<file path=xl/sharedStrings.xml><?xml version="1.0" encoding="utf-8"?>
<sst xmlns="http://schemas.openxmlformats.org/spreadsheetml/2006/main" count="3030" uniqueCount="439">
  <si>
    <t>ET E-J 2004</t>
  </si>
  <si>
    <t>ET J-D 2004</t>
  </si>
  <si>
    <t>Programa Educativo</t>
  </si>
  <si>
    <t>ET E-J 2003</t>
  </si>
  <si>
    <t>ET J-D 2003</t>
  </si>
  <si>
    <t>DES</t>
  </si>
  <si>
    <t>ICAP</t>
  </si>
  <si>
    <t>ICBI</t>
  </si>
  <si>
    <t>Educación</t>
  </si>
  <si>
    <t>ICSa</t>
  </si>
  <si>
    <t>ICSHu</t>
  </si>
  <si>
    <t>ICEA</t>
  </si>
  <si>
    <t>ET E-J 2002</t>
  </si>
  <si>
    <t>ET J-D 2002</t>
  </si>
  <si>
    <t>ICSA</t>
  </si>
  <si>
    <t>ICSHU</t>
  </si>
  <si>
    <t>ET E-J 2005</t>
  </si>
  <si>
    <t>ET J-D 2005</t>
  </si>
  <si>
    <t>ET E-J 2006</t>
  </si>
  <si>
    <t>Acreditado</t>
  </si>
  <si>
    <t>PE de Calidad</t>
  </si>
  <si>
    <t>SI</t>
  </si>
  <si>
    <t>NO</t>
  </si>
  <si>
    <t>Si</t>
  </si>
  <si>
    <t>BACHILLERATO</t>
  </si>
  <si>
    <t>Bachillerato</t>
  </si>
  <si>
    <t>Pachuca</t>
  </si>
  <si>
    <t>Tulancingo</t>
  </si>
  <si>
    <t>Sahagun</t>
  </si>
  <si>
    <t>Tlahuelilpan</t>
  </si>
  <si>
    <t>Actopan</t>
  </si>
  <si>
    <t>ET E-J 2001</t>
  </si>
  <si>
    <t>ET J-D 2001</t>
  </si>
  <si>
    <t>Tizayuca</t>
  </si>
  <si>
    <t>Mineral del Monte</t>
  </si>
  <si>
    <t>IA</t>
  </si>
  <si>
    <t>ET J-D 2006</t>
  </si>
  <si>
    <t>Cirujano Dentista</t>
  </si>
  <si>
    <t>Tepeji del Río</t>
  </si>
  <si>
    <t>Zimapán</t>
  </si>
  <si>
    <t>Huejutla</t>
  </si>
  <si>
    <t>Ret 1 a 2 ciclo 2006</t>
  </si>
  <si>
    <t>Ret 1 a 2 ciclo 2005</t>
  </si>
  <si>
    <t>Ret 1 a 2 ciclo 2004</t>
  </si>
  <si>
    <t>Ret 1 a 2 ciclo 2003</t>
  </si>
  <si>
    <t>Ret 1 a 2 ciclo 2002</t>
  </si>
  <si>
    <t>Promedio ET 2001</t>
  </si>
  <si>
    <t>Promedio ET 2002</t>
  </si>
  <si>
    <t>Promedio  ET 2003</t>
  </si>
  <si>
    <t>Promedio  ET 2004</t>
  </si>
  <si>
    <t>Promedio ET 2005</t>
  </si>
  <si>
    <t>Promedio 2006 ET</t>
  </si>
  <si>
    <t>Trabajo Social Profesional Asociado</t>
  </si>
  <si>
    <t>Matricula 2006-2007</t>
  </si>
  <si>
    <t>Matricula 2005-2006</t>
  </si>
  <si>
    <t>Matricula 2004-2005</t>
  </si>
  <si>
    <t>Matricula 2003-2004</t>
  </si>
  <si>
    <t>Matricula 2002-2003</t>
  </si>
  <si>
    <t>Matricula 2001-2002</t>
  </si>
  <si>
    <t>Matricula 2000-2001</t>
  </si>
  <si>
    <t>Nivel educativo</t>
  </si>
  <si>
    <t>EMS</t>
  </si>
  <si>
    <t>EMST</t>
  </si>
  <si>
    <t>Clasificación ANUIES</t>
  </si>
  <si>
    <t>TSU</t>
  </si>
  <si>
    <t>A</t>
  </si>
  <si>
    <t>B</t>
  </si>
  <si>
    <t>C</t>
  </si>
  <si>
    <t>Promedio 2007</t>
  </si>
  <si>
    <t>ET E-J 2007</t>
  </si>
  <si>
    <t>Ret 1 a 2 ciclo E-J 2007</t>
  </si>
  <si>
    <t>ET J-D 2007</t>
  </si>
  <si>
    <t>Ret 1 a 2 ciclo J-D 2007</t>
  </si>
  <si>
    <t>.</t>
  </si>
  <si>
    <t>Matrícula  2007-2008</t>
  </si>
  <si>
    <t>ET E-J 2008</t>
  </si>
  <si>
    <t>Ret 1 a 2 ciclo E-J 2008</t>
  </si>
  <si>
    <t>ET J-D 2008</t>
  </si>
  <si>
    <t>Promedio 2008</t>
  </si>
  <si>
    <t>Matrícula  2008-2009</t>
  </si>
  <si>
    <t>Ret 1 a 2 ciclo J-D 2008</t>
  </si>
  <si>
    <t>Ingeniería Agroindustrial</t>
  </si>
  <si>
    <t>Ingeniería en Manejo de Recursos Forestales</t>
  </si>
  <si>
    <t>Ingeniería en Alimentos</t>
  </si>
  <si>
    <t>Ingeniería Industrial</t>
  </si>
  <si>
    <t>Licenciatura en Sistemas Computacionales</t>
  </si>
  <si>
    <t>Licenciatura en Química</t>
  </si>
  <si>
    <t>Ingeniería en Minero Metalúrgico</t>
  </si>
  <si>
    <t>Licenciatura en Biología</t>
  </si>
  <si>
    <t>Ingeniería en Ciencia de los Materiales</t>
  </si>
  <si>
    <t>Ingeniería en Electrónica y Telecomunicaciones</t>
  </si>
  <si>
    <t>Licenciatura en Química en Alimentos</t>
  </si>
  <si>
    <t>Ingeniería en Geología Ambiental</t>
  </si>
  <si>
    <t>Física y Tecnología Avanzada</t>
  </si>
  <si>
    <t>Licenciatura en Arquitectura</t>
  </si>
  <si>
    <t>Ingeniería Civil</t>
  </si>
  <si>
    <t>Licenciatura en Computación</t>
  </si>
  <si>
    <t>Licenciatura en Administración</t>
  </si>
  <si>
    <t>Licenciatura en Contaduría</t>
  </si>
  <si>
    <t>Licenciatura en Economía</t>
  </si>
  <si>
    <t>Licenciatura en Comercio Exterior</t>
  </si>
  <si>
    <t>Licenciatura en Turismo</t>
  </si>
  <si>
    <t>Licenciatura en  Mercadotecnia</t>
  </si>
  <si>
    <t>Licenciatura en  Gastronomía</t>
  </si>
  <si>
    <t>Licenciatura en Farmacia</t>
  </si>
  <si>
    <t>Licenciatura en Psicología</t>
  </si>
  <si>
    <t>Licenciatura en Nutrición</t>
  </si>
  <si>
    <t>Licenciatura en Enfermería</t>
  </si>
  <si>
    <t>Licenciatura en Derecho</t>
  </si>
  <si>
    <t>Licenciatura en Trabajo Social</t>
  </si>
  <si>
    <t>Licenciatura en Comunicación</t>
  </si>
  <si>
    <t>Licenciatura en Historia</t>
  </si>
  <si>
    <t>Licenciatura en Sociología</t>
  </si>
  <si>
    <t>Licenciatura en Admón Publica</t>
  </si>
  <si>
    <t>Licenciatura en Danza</t>
  </si>
  <si>
    <t>Licenciatura en Artes Visuales</t>
  </si>
  <si>
    <t>Licenciatura en Música</t>
  </si>
  <si>
    <t>Licenciatura en Arte Dramático</t>
  </si>
  <si>
    <t>Licenciatura en Medicina, Veterinaria y Zootecnia</t>
  </si>
  <si>
    <t>ET E-J 2009</t>
  </si>
  <si>
    <t>Ret 1 a 2 ciclo E-J 2009</t>
  </si>
  <si>
    <t>Promedio 2009</t>
  </si>
  <si>
    <t>Ingeniería en Agronegocios</t>
  </si>
  <si>
    <t>Matrícula  2009-2010</t>
  </si>
  <si>
    <t>Licenciatura en Matemáticas Aplicadas</t>
  </si>
  <si>
    <t>ET J-D 2009</t>
  </si>
  <si>
    <t>Ret 1 a 2 ciclo J-D 2009</t>
  </si>
  <si>
    <t>Médico Cirujano</t>
  </si>
  <si>
    <t>Licenciatura en Gerontología</t>
  </si>
  <si>
    <t>Especialidad en Administración de Pequeñas y Medianas Empresas  (PyMES)</t>
  </si>
  <si>
    <t xml:space="preserve">Especialidad en Administración Tributaria                                       </t>
  </si>
  <si>
    <t>Tecnología Educativa</t>
  </si>
  <si>
    <t>Sistemas y Planeación</t>
  </si>
  <si>
    <t>Especialidad en Medicina Integrada</t>
  </si>
  <si>
    <t>Maestría en Administración</t>
  </si>
  <si>
    <t>Maestría en Ciencias Biomédicas y de la Salud</t>
  </si>
  <si>
    <t>Maestría en Tecnología Educativa</t>
  </si>
  <si>
    <t>Licenciatura en Antropologia Social</t>
  </si>
  <si>
    <t>ET E-J 2010</t>
  </si>
  <si>
    <t>Matrícula  2010-2011</t>
  </si>
  <si>
    <t>Nivel CIEES</t>
  </si>
  <si>
    <t>PFC</t>
  </si>
  <si>
    <t>PNP</t>
  </si>
  <si>
    <t>Ret 1 a 2 ciclo E-J  2010</t>
  </si>
  <si>
    <t>ET J-D 2010</t>
  </si>
  <si>
    <t>Ret 1 a 2 ciclo J-D  2010</t>
  </si>
  <si>
    <t>Promedio 2010</t>
  </si>
  <si>
    <t>ET E-J 2011</t>
  </si>
  <si>
    <t>ET J-D 2011</t>
  </si>
  <si>
    <t>Promedio 2011</t>
  </si>
  <si>
    <t>Ret 1 a 2 ciclo E-J  2011</t>
  </si>
  <si>
    <t>Ret 1 a 2 ciclo J-D  2011</t>
  </si>
  <si>
    <t>SUV</t>
  </si>
  <si>
    <t>Licenciatura en Mercadotécnia</t>
  </si>
  <si>
    <t>Técnico en Enfermería</t>
  </si>
  <si>
    <t>Atotonilco</t>
  </si>
  <si>
    <t>ET E-J 2012</t>
  </si>
  <si>
    <t xml:space="preserve">Matrícula  2011-2012 </t>
  </si>
  <si>
    <t>Ret 1 a 2 ciclo E-J  2012</t>
  </si>
  <si>
    <t>Especialidad en Odontología Pediatr íca</t>
  </si>
  <si>
    <t>Especialidad en Medicina de Urgencias</t>
  </si>
  <si>
    <t>Área del Conocimiento</t>
  </si>
  <si>
    <t>GENERAL</t>
  </si>
  <si>
    <t>Ingeniería en Manufacturas y Construcción</t>
  </si>
  <si>
    <t>Agronomía y veterinaria</t>
  </si>
  <si>
    <t>Salud</t>
  </si>
  <si>
    <t>Ciencias sociales, administración y derecho</t>
  </si>
  <si>
    <t>Humanidades y Artes</t>
  </si>
  <si>
    <t>Areas del Conocimiento QS</t>
  </si>
  <si>
    <t>Ingeniería y Tecnología</t>
  </si>
  <si>
    <t>Ciencias de la Vida y Medicina</t>
  </si>
  <si>
    <t>Ciencias Naturales</t>
  </si>
  <si>
    <t>Ciencias Sociales y Administrativas</t>
  </si>
  <si>
    <t>Artes y Humanidades</t>
  </si>
  <si>
    <t>S/A</t>
  </si>
  <si>
    <t>Ciencias naturales, exactas y de la computación</t>
  </si>
  <si>
    <t>ET J-D 2012</t>
  </si>
  <si>
    <t>Ret 1 a 2 ciclo J-D  2012</t>
  </si>
  <si>
    <t>Promedio 2012</t>
  </si>
  <si>
    <t xml:space="preserve">Matrícula  2012-2013 </t>
  </si>
  <si>
    <t>Licenciatura en Ciencias Computacionales</t>
  </si>
  <si>
    <t>Licenciatura en Ingeniería en Electrónica</t>
  </si>
  <si>
    <t>ET E-J 2013</t>
  </si>
  <si>
    <t>Ret 1 a 2 ciclo J-D  2013</t>
  </si>
  <si>
    <t>Ret 1 a 2 ciclo E-J  2013</t>
  </si>
  <si>
    <t>Matrícula 2013-2014</t>
  </si>
  <si>
    <t>Licenciatura en Ingeniería en Telecomunicaciones</t>
  </si>
  <si>
    <t>Apan</t>
  </si>
  <si>
    <t>Especialidad en Medicina del Enfermo en Estado Crítico</t>
  </si>
  <si>
    <t>Especialidad en Odontopediatría</t>
  </si>
  <si>
    <t xml:space="preserve">Maestría en Gestión de Instituciones Educativas </t>
  </si>
  <si>
    <t>ET E-J 2014</t>
  </si>
  <si>
    <t>ET J-D 2013</t>
  </si>
  <si>
    <t>Ret 1 a 2 ciclo E-J  2014</t>
  </si>
  <si>
    <t>Matrícula 2014-2015</t>
  </si>
  <si>
    <t>ET J-D 2014</t>
  </si>
  <si>
    <t>Ret 1 a 2 ciclo J-D  2014</t>
  </si>
  <si>
    <t>Escuela Preparatoria No. Uno</t>
  </si>
  <si>
    <t>Escuela Preparatoria No. Dos</t>
  </si>
  <si>
    <t>Escuela Preparatoria No. Tres</t>
  </si>
  <si>
    <t>Escuela Preparatoria No. Cuatro</t>
  </si>
  <si>
    <t>Escuela Superior de Tepeji del Rio</t>
  </si>
  <si>
    <t>Escuela Superior de Atotonilco de Tula</t>
  </si>
  <si>
    <t>Escuela Superior de Actopan</t>
  </si>
  <si>
    <t>Escuela Superior de Ciudad Sahagun</t>
  </si>
  <si>
    <t>Escuela Superior de Huejutla</t>
  </si>
  <si>
    <t>n/a</t>
  </si>
  <si>
    <t>Tasa de titulación terminal jul-dic 2014</t>
  </si>
  <si>
    <t>Tasa de titulación al egreso jul-dic 2014</t>
  </si>
  <si>
    <t>Tasa de titulación terminal ene-jun 2014</t>
  </si>
  <si>
    <t>Tasa de titulación al egreso ene-jun 2014</t>
  </si>
  <si>
    <t>-</t>
  </si>
  <si>
    <t>Tasa de titulación terminal jul-dic 2013</t>
  </si>
  <si>
    <t>Tasa de titulación al egreso jul-dic 2013</t>
  </si>
  <si>
    <t>Tasa de titulación terminal ene-jun 2013</t>
  </si>
  <si>
    <t>Tasa de titulación terminal jul-dic 2012</t>
  </si>
  <si>
    <t>Tasa de titulación al egreso jul-dic 2012</t>
  </si>
  <si>
    <t>Tasa de titulación terminal ene-jun 2012</t>
  </si>
  <si>
    <t>Tasa de titulación al egreso ene-jun 2012</t>
  </si>
  <si>
    <t>Tasa de titulación al egreso ene-jun 2013</t>
  </si>
  <si>
    <t>Tasa de titulación terminal ene-jun 2015</t>
  </si>
  <si>
    <t>Tasa de titulación al egreso ene-jun 2015</t>
  </si>
  <si>
    <t>ET E-J 2015</t>
  </si>
  <si>
    <t>ET J-D 2015</t>
  </si>
  <si>
    <t>Tasa de titulación terminal jul-dic 2015</t>
  </si>
  <si>
    <t>Tasa de titulación al egreso jul-dic 2015</t>
  </si>
  <si>
    <t>Matrícula 2015-2016</t>
  </si>
  <si>
    <t>Escuela Superior de Tizayuca</t>
  </si>
  <si>
    <t>Escuela Superior de Tlahuelilpan</t>
  </si>
  <si>
    <t>Doctorado en Ciencias Agropecuarias</t>
  </si>
  <si>
    <t>Licenciatura en Planeación y Desarrollo Regional</t>
  </si>
  <si>
    <t>Ret 1 a 2 ciclo E-J  2015</t>
  </si>
  <si>
    <t>Ret 1 a 2 ciclo J-D  2015</t>
  </si>
  <si>
    <t>Matrícula 2016-2017</t>
  </si>
  <si>
    <t>Licenciatura en Innovación y Tecnología Educativa</t>
  </si>
  <si>
    <t xml:space="preserve">Especialidades Médicas * </t>
  </si>
  <si>
    <t>Licenciatura en Ingeniería en Nanotecnología</t>
  </si>
  <si>
    <t>Tasa de titulación terminal ene-jun 2016</t>
  </si>
  <si>
    <t>Tasa de titulación al egreso ene-jun 2016</t>
  </si>
  <si>
    <t>ET E-J 2016</t>
  </si>
  <si>
    <t>ET J-D 2016</t>
  </si>
  <si>
    <t>Tasa de titulación terminal jul-dic 2016</t>
  </si>
  <si>
    <t>Tasa de titulación al egreso jul-dic 2016</t>
  </si>
  <si>
    <t>Ret 1 a 2 ciclo E-J  2016</t>
  </si>
  <si>
    <t>Ret 1 a 2 ciclo J-D  2016</t>
  </si>
  <si>
    <t>PNPC</t>
  </si>
  <si>
    <t>13UBH0007A</t>
  </si>
  <si>
    <t>13UBH0008Z</t>
  </si>
  <si>
    <t>13UBH0002F</t>
  </si>
  <si>
    <t>13UBH0003E</t>
  </si>
  <si>
    <t>13UBH0001G</t>
  </si>
  <si>
    <t>13UBH0004D</t>
  </si>
  <si>
    <t>13UBH0010O</t>
  </si>
  <si>
    <t>13UBH0012M</t>
  </si>
  <si>
    <t>13UBH0011N</t>
  </si>
  <si>
    <t>13UBH0014K</t>
  </si>
  <si>
    <t>13UBH0013L</t>
  </si>
  <si>
    <t>13UBH0009Z</t>
  </si>
  <si>
    <t>Licenciatura en Alimentación Sustentable</t>
  </si>
  <si>
    <t>Matrícula 2017-2018</t>
  </si>
  <si>
    <t>Ingeniería Forestal</t>
  </si>
  <si>
    <t>Ingeniería en agronomía para la producción sustentable</t>
  </si>
  <si>
    <t>Ingeniería de Materiales</t>
  </si>
  <si>
    <t>Licenciatura en Ciencia Política y Administración Pública</t>
  </si>
  <si>
    <t>Licenciatura en Ciencias de la Educación</t>
  </si>
  <si>
    <t>Licenciatura en Ciencias de la Comunicación</t>
  </si>
  <si>
    <t>Licenciatura en la Enseñanza de la Lengua Inglesa</t>
  </si>
  <si>
    <t>Licenciatura en Enseñanza de la Lengua Inglesa</t>
  </si>
  <si>
    <t>Licenciatura en Teatro</t>
  </si>
  <si>
    <t>Ixtlahuaco</t>
  </si>
  <si>
    <t>Tlaxcoapan</t>
  </si>
  <si>
    <t>13PBH8001X</t>
  </si>
  <si>
    <t>13UBH0015J</t>
  </si>
  <si>
    <t>Nivelación académica de licenciatura en enfermería</t>
  </si>
  <si>
    <t>ET E-J 2017</t>
  </si>
  <si>
    <t>ET J-D 2017</t>
  </si>
  <si>
    <t>Ret 1 a 2 ciclo E-J  2017</t>
  </si>
  <si>
    <t>Ret 1 a 2 ciclo J-D  2017</t>
  </si>
  <si>
    <t>Tasa de titulación terminal ene-jun 2017</t>
  </si>
  <si>
    <t>Tasa de titulación al egreso ene-jun 2017</t>
  </si>
  <si>
    <t>Tasa de titulación terminal jul-dic 2017</t>
  </si>
  <si>
    <t>Tasa de titulación al egreso jul-dic 2017</t>
  </si>
  <si>
    <t xml:space="preserve">13UBH0011N </t>
  </si>
  <si>
    <t xml:space="preserve">13UBH0006B </t>
  </si>
  <si>
    <t xml:space="preserve">13UBH0012M </t>
  </si>
  <si>
    <t xml:space="preserve">13UBH0014K </t>
  </si>
  <si>
    <t xml:space="preserve">13UBH0013L </t>
  </si>
  <si>
    <t xml:space="preserve">13UBH0015J </t>
  </si>
  <si>
    <t xml:space="preserve">13UBH0008Z </t>
  </si>
  <si>
    <t>Maestría en Alimentos</t>
  </si>
  <si>
    <t xml:space="preserve">13UBH0007A </t>
  </si>
  <si>
    <t xml:space="preserve">13UBH0002F </t>
  </si>
  <si>
    <t xml:space="preserve">13UBH0003E </t>
  </si>
  <si>
    <t xml:space="preserve">13UBH0009Z </t>
  </si>
  <si>
    <t>Maestría en Nutrición Clínica</t>
  </si>
  <si>
    <t>ET E-J 2018</t>
  </si>
  <si>
    <t>Ret 1 a 2 ciclo E-J  2018</t>
  </si>
  <si>
    <t>Tasa de titulación al egreso ene-jun 2018</t>
  </si>
  <si>
    <t>Tasa de titulación terminal ene-jun 2018</t>
  </si>
  <si>
    <t>ET J-D 2018</t>
  </si>
  <si>
    <t>Ret 1 a 2 ciclo J-D 2018</t>
  </si>
  <si>
    <t xml:space="preserve"> </t>
  </si>
  <si>
    <t>Tasa de titulación terminal jul-dic 18</t>
  </si>
  <si>
    <t>Tasa de titulación al egreso jul-dic 18</t>
  </si>
  <si>
    <t>Clave 911
Actual</t>
  </si>
  <si>
    <t>Sede</t>
  </si>
  <si>
    <t>Clave 911
Anterior</t>
  </si>
  <si>
    <t>Licenciatura en Diseño Gráfico</t>
  </si>
  <si>
    <t xml:space="preserve">Ingeniería Industrial </t>
  </si>
  <si>
    <t>Escuela</t>
  </si>
  <si>
    <t>Instituto de Artes</t>
  </si>
  <si>
    <t>Instituto de Ciencias Agropecuarias</t>
  </si>
  <si>
    <t>Instituto de Ciencias Básicas e Ingeniería</t>
  </si>
  <si>
    <t>Instituto de Ciencias Económico Administrativas</t>
  </si>
  <si>
    <t>Instituto de Ciencias de la Salud</t>
  </si>
  <si>
    <t>Instituto de Ciencias Sociales y Humanidades</t>
  </si>
  <si>
    <t>Sistema de Universidad Virtual</t>
  </si>
  <si>
    <t>Escuela Superior de Apan</t>
  </si>
  <si>
    <t>Licenciatura</t>
  </si>
  <si>
    <t>Doctorado</t>
  </si>
  <si>
    <t>Especialidad</t>
  </si>
  <si>
    <t>Maestría</t>
  </si>
  <si>
    <t>Profesional asociado</t>
  </si>
  <si>
    <t>Educacion media superior</t>
  </si>
  <si>
    <t>Educacion media superior y Terminal</t>
  </si>
  <si>
    <t>Promedio 2013</t>
  </si>
  <si>
    <t>Promedio 2014</t>
  </si>
  <si>
    <t>Promedio 2015</t>
  </si>
  <si>
    <t>Promedio 2016</t>
  </si>
  <si>
    <t>Promedio 2017</t>
  </si>
  <si>
    <t>Promedio 2018</t>
  </si>
  <si>
    <t>Matrícula 2018-2019</t>
  </si>
  <si>
    <t xml:space="preserve">Licenciatura en Psicología </t>
  </si>
  <si>
    <t>Licenciatura en Creación y Desarrollo de Empresas</t>
  </si>
  <si>
    <t>Licenciatura en Ingeniería Económica y Financiera</t>
  </si>
  <si>
    <t>Licenciatura en Ingeniería en Biociencias</t>
  </si>
  <si>
    <t>Licenciatura en Ingeniería en Tecnología del Frío</t>
  </si>
  <si>
    <t xml:space="preserve">Inteligencia de Mercados </t>
  </si>
  <si>
    <t xml:space="preserve">Ingeniería en Mecánica </t>
  </si>
  <si>
    <t xml:space="preserve">Licenciatura en  Contaduría </t>
  </si>
  <si>
    <t xml:space="preserve">Profesional Asociado en Trabajo Social </t>
  </si>
  <si>
    <t>Medico Cirujano</t>
  </si>
  <si>
    <t xml:space="preserve">Ingeniería en Electrónica y Telecomunicaciones </t>
  </si>
  <si>
    <t>Licenciatura en Tecnologías de la Información</t>
  </si>
  <si>
    <t>Ingeniería en Computación</t>
  </si>
  <si>
    <t xml:space="preserve">Ingeniería en Tecnologías de Automatización </t>
  </si>
  <si>
    <t xml:space="preserve">Ingeniería en Tecnologías de Automatización Industrial </t>
  </si>
  <si>
    <t>Licenciatura en Gestión Tecnológica</t>
  </si>
  <si>
    <t>Licenciatura en Ingeniería de Software</t>
  </si>
  <si>
    <t xml:space="preserve">Licenciatura en Administración </t>
  </si>
  <si>
    <t xml:space="preserve">Licenciatura en Enfermería </t>
  </si>
  <si>
    <t>Escuela Superior de Zimapan</t>
  </si>
  <si>
    <t>Licenciatura Contaduría</t>
  </si>
  <si>
    <t>Ingeniería en Procesamiento de Recursos Minerales</t>
  </si>
  <si>
    <t xml:space="preserve">Licenciatura en Derecho </t>
  </si>
  <si>
    <t>Maestría en Patrimonio Cultural de México</t>
  </si>
  <si>
    <t>Maestría en Ciencias en Biodiversidad y Conservación</t>
  </si>
  <si>
    <t xml:space="preserve">Maestría en Quimica                                                             </t>
  </si>
  <si>
    <t>Maestría en Matemáticas</t>
  </si>
  <si>
    <t xml:space="preserve">Maestría en Ciencias de los materiales                                         </t>
  </si>
  <si>
    <t xml:space="preserve">Maestría en Ciencias Computacionales                                            </t>
  </si>
  <si>
    <t>Maestría en Ciencias en Ingeniería Industrial</t>
  </si>
  <si>
    <t xml:space="preserve">Maestría en Ciencias en Ingeniería de Manufactura                                                         </t>
  </si>
  <si>
    <t xml:space="preserve">Maestría en Ciencias en Automatización y Control                               </t>
  </si>
  <si>
    <t xml:space="preserve">Maestría en Ciencias en Matemáticas y su Didáctica                              </t>
  </si>
  <si>
    <t>Maestría en Tecnologías de la Información para al Educación</t>
  </si>
  <si>
    <t xml:space="preserve">Doctorado en Ciencias de los materiales                                         </t>
  </si>
  <si>
    <t>Doctorado en Química</t>
  </si>
  <si>
    <t>Doctorado en Ciencias en Biodiversidad y Conservación</t>
  </si>
  <si>
    <t xml:space="preserve">Doctorado en Ciencias Ambientales                                               </t>
  </si>
  <si>
    <t xml:space="preserve">Doctorado en Ciencias Computacionales                                           </t>
  </si>
  <si>
    <t>Doctorado en Ciencias en Ingeniería Industrial</t>
  </si>
  <si>
    <t>Doctorado en Ciencias en Automatización y Control</t>
  </si>
  <si>
    <t>Doctorado en Ciencias de los Alimentos y Salud Humana</t>
  </si>
  <si>
    <t xml:space="preserve">Maestría en Ciencas de La Salud                                                 </t>
  </si>
  <si>
    <t>Especialidad en Medicina Familiar *</t>
  </si>
  <si>
    <t>Especialidad en Anestesiología *</t>
  </si>
  <si>
    <t>Especialidad en Cirugía General *</t>
  </si>
  <si>
    <t>Especialidad en Ginecología y Obstetricia *</t>
  </si>
  <si>
    <t>Especialidad en Medicina Interna *</t>
  </si>
  <si>
    <t>Especialidad en Pediatría Médica *</t>
  </si>
  <si>
    <t>Especialidad en Ortopedia *</t>
  </si>
  <si>
    <t>Especialidad en Neonatología *</t>
  </si>
  <si>
    <t>Especialidad en Infectología Pediátrica *</t>
  </si>
  <si>
    <t>Especialidad en Enfermería Neonatal</t>
  </si>
  <si>
    <t>Especialidad en Enfermería Pediátrica</t>
  </si>
  <si>
    <t>Maestría en Salud Pública</t>
  </si>
  <si>
    <t>Especialidad En Administración de Personal</t>
  </si>
  <si>
    <t xml:space="preserve">Maestría en Gestion Administrativa                                              </t>
  </si>
  <si>
    <t xml:space="preserve">Maestría en Gestion Fiscal                                              </t>
  </si>
  <si>
    <t>Maestría en Auditoría</t>
  </si>
  <si>
    <t>Maestría en Estudios Económicos</t>
  </si>
  <si>
    <t>Doctorado en Ciencias Económico Administrativas</t>
  </si>
  <si>
    <t xml:space="preserve">Especialidad en Derecho Penal                                                   </t>
  </si>
  <si>
    <t>Especialidad en Docencia</t>
  </si>
  <si>
    <t>Maestría en Derecho Penal y Ciencias Penales</t>
  </si>
  <si>
    <t xml:space="preserve">Maestría en Estudios de Poblacion                                               </t>
  </si>
  <si>
    <t xml:space="preserve">Maestría en Ciencias Sociales                                </t>
  </si>
  <si>
    <t>Maestría en Ciencias de la Educación</t>
  </si>
  <si>
    <t>Maestría en Gobierno y Gestión Local</t>
  </si>
  <si>
    <t>Doctorado en Ciencias de la educación</t>
  </si>
  <si>
    <t xml:space="preserve">Doctorado en Derecho                                                            </t>
  </si>
  <si>
    <t xml:space="preserve">Doctorado en Estudios de Poblacion                                               </t>
  </si>
  <si>
    <t xml:space="preserve">Doctorado en Ciencias Sociales                                </t>
  </si>
  <si>
    <t>Maestría en Gestión y Desarrollo de Nuevas Tecnologías</t>
  </si>
  <si>
    <t>Maestría Psicología de la Salud</t>
  </si>
  <si>
    <t>Doctorado en Políticas Públicas</t>
  </si>
  <si>
    <t>ET E-J 2019</t>
  </si>
  <si>
    <t>Ret 1 a 2 ciclo E-J  2019</t>
  </si>
  <si>
    <t>Tasa de titulación terminal ene-jun 19</t>
  </si>
  <si>
    <t>Tasa de titulación al egreso ene-jun 19</t>
  </si>
  <si>
    <t>ET J-D 2019</t>
  </si>
  <si>
    <t>Promedio 2019</t>
  </si>
  <si>
    <t>Ret 1 a 2 ciclo J-D 2019</t>
  </si>
  <si>
    <t>Tasa de titulación terminal jul-dic 19</t>
  </si>
  <si>
    <t>Tasa de titulación al egreso jul-dic 19</t>
  </si>
  <si>
    <t>ET E-J 2020</t>
  </si>
  <si>
    <t>Ret 1 a 2 ciclo E-J  2020</t>
  </si>
  <si>
    <t>Tasa de titulación terminal ene-jun 20</t>
  </si>
  <si>
    <t>Tasa de titulación al egreso ene-jun 20</t>
  </si>
  <si>
    <t>Matrícula 2019-2020</t>
  </si>
  <si>
    <t>Matrícula 2020-2021</t>
  </si>
  <si>
    <t>Escuela Preparatoria No. Siete</t>
  </si>
  <si>
    <t>Ixmiquilpan</t>
  </si>
  <si>
    <t>Licenciatura en Gestión de Negocios Agropecuarios</t>
  </si>
  <si>
    <t>Licenciatura en Ingeniería en Biotecnología</t>
  </si>
  <si>
    <t>Maestría en Ciencias y Tecnología Agrícola y Forestal Sustentable</t>
  </si>
  <si>
    <t>Maestría en Ciencias en Computación Avanzada y Electrónica</t>
  </si>
  <si>
    <t>Doctorado en Ciencias en Ingeniería con Énfasis en Análisis y Modelación de Sistemas</t>
  </si>
  <si>
    <t>Maestría en Farmacia Clínica</t>
  </si>
  <si>
    <t>Escuela Preparatoria No. Cinco</t>
  </si>
  <si>
    <t>Escuela Preparatoria No. Seis</t>
  </si>
  <si>
    <r>
      <t>Profesional Asociado en Enfermería (</t>
    </r>
    <r>
      <rPr>
        <sz val="10"/>
        <color indexed="10"/>
        <rFont val="Arial"/>
        <family val="2"/>
      </rPr>
      <t>CAMPUS TLAHUELILPAN)</t>
    </r>
  </si>
  <si>
    <t>ET J-D 2020</t>
  </si>
  <si>
    <t>Promedio 2020</t>
  </si>
  <si>
    <t>Ret 1 a 2 ciclo J-D  2020</t>
  </si>
  <si>
    <t>Tasa de titulación terminal jul-dic 20</t>
  </si>
  <si>
    <t>Tasa de titulación al egreso jul-dic 20</t>
  </si>
  <si>
    <t xml:space="preserve">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</si>
</sst>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b/>
      <sz val="9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 tint="-0.4999699890613556"/>
      <name val="Arial"/>
      <family val="2"/>
    </font>
    <font>
      <sz val="10"/>
      <color rgb="FF404040"/>
      <name val="Arial"/>
      <family val="2"/>
    </font>
    <font>
      <b/>
      <sz val="9"/>
      <color theme="0"/>
      <name val="Arial"/>
      <family val="2"/>
    </font>
    <font>
      <b/>
      <sz val="10"/>
      <color rgb="FF0000FF"/>
      <name val="Arial"/>
      <family val="2"/>
    </font>
    <font>
      <sz val="10"/>
      <color rgb="FF1919F7"/>
      <name val="Arial"/>
      <family val="2"/>
    </font>
    <font>
      <b/>
      <sz val="10"/>
      <color rgb="FF1919F7"/>
      <name val="Arial"/>
      <family val="2"/>
    </font>
    <font>
      <b/>
      <sz val="10"/>
      <color theme="3" tint="-0.4999699890613556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 style="hair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51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0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0" xfId="48" applyNumberFormat="1" applyFont="1" applyAlignment="1">
      <alignment/>
    </xf>
    <xf numFmtId="0" fontId="4" fillId="0" borderId="0" xfId="0" applyFont="1" applyAlignment="1">
      <alignment/>
    </xf>
    <xf numFmtId="165" fontId="4" fillId="0" borderId="10" xfId="48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34" borderId="10" xfId="48" applyNumberFormat="1" applyFont="1" applyFill="1" applyBorder="1" applyAlignment="1">
      <alignment/>
    </xf>
    <xf numFmtId="165" fontId="7" fillId="34" borderId="10" xfId="48" applyNumberFormat="1" applyFont="1" applyFill="1" applyBorder="1" applyAlignment="1">
      <alignment/>
    </xf>
    <xf numFmtId="9" fontId="4" fillId="34" borderId="10" xfId="59" applyFont="1" applyFill="1" applyBorder="1" applyAlignment="1">
      <alignment/>
    </xf>
    <xf numFmtId="165" fontId="4" fillId="0" borderId="10" xfId="48" applyNumberFormat="1" applyFont="1" applyFill="1" applyBorder="1" applyAlignment="1">
      <alignment/>
    </xf>
    <xf numFmtId="0" fontId="55" fillId="2" borderId="0" xfId="0" applyFont="1" applyFill="1" applyAlignment="1">
      <alignment/>
    </xf>
    <xf numFmtId="0" fontId="55" fillId="0" borderId="0" xfId="0" applyFont="1" applyFill="1" applyAlignment="1">
      <alignment/>
    </xf>
    <xf numFmtId="165" fontId="0" fillId="0" borderId="0" xfId="48" applyNumberFormat="1" applyFont="1" applyBorder="1" applyAlignment="1">
      <alignment/>
    </xf>
    <xf numFmtId="165" fontId="55" fillId="0" borderId="0" xfId="48" applyNumberFormat="1" applyFont="1" applyFill="1" applyAlignment="1">
      <alignment/>
    </xf>
    <xf numFmtId="165" fontId="55" fillId="2" borderId="0" xfId="48" applyNumberFormat="1" applyFont="1" applyFill="1" applyAlignment="1">
      <alignment/>
    </xf>
    <xf numFmtId="165" fontId="56" fillId="0" borderId="10" xfId="48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9" fontId="8" fillId="0" borderId="0" xfId="59" applyFont="1" applyAlignment="1">
      <alignment/>
    </xf>
    <xf numFmtId="9" fontId="0" fillId="0" borderId="0" xfId="59" applyFont="1" applyAlignment="1">
      <alignment/>
    </xf>
    <xf numFmtId="9" fontId="9" fillId="0" borderId="0" xfId="59" applyFont="1" applyAlignment="1">
      <alignment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1" fontId="0" fillId="0" borderId="0" xfId="0" applyNumberFormat="1" applyAlignment="1">
      <alignment/>
    </xf>
    <xf numFmtId="10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0" xfId="48" applyNumberFormat="1" applyFont="1" applyAlignment="1">
      <alignment/>
    </xf>
    <xf numFmtId="0" fontId="55" fillId="0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165" fontId="59" fillId="0" borderId="10" xfId="48" applyNumberFormat="1" applyFont="1" applyBorder="1" applyAlignment="1">
      <alignment/>
    </xf>
    <xf numFmtId="165" fontId="59" fillId="35" borderId="10" xfId="48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9" fontId="3" fillId="36" borderId="11" xfId="59" applyFont="1" applyFill="1" applyBorder="1" applyAlignment="1">
      <alignment horizontal="center" vertical="center" wrapText="1"/>
    </xf>
    <xf numFmtId="9" fontId="61" fillId="37" borderId="11" xfId="59" applyFont="1" applyFill="1" applyBorder="1" applyAlignment="1">
      <alignment horizontal="center" vertical="center" wrapText="1"/>
    </xf>
    <xf numFmtId="9" fontId="61" fillId="38" borderId="11" xfId="59" applyFont="1" applyFill="1" applyBorder="1" applyAlignment="1">
      <alignment horizontal="center" vertical="center" wrapText="1"/>
    </xf>
    <xf numFmtId="165" fontId="0" fillId="0" borderId="10" xfId="48" applyNumberFormat="1" applyFon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65" fontId="0" fillId="0" borderId="10" xfId="48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9" fontId="0" fillId="0" borderId="10" xfId="59" applyFont="1" applyFill="1" applyBorder="1" applyAlignment="1">
      <alignment/>
    </xf>
    <xf numFmtId="165" fontId="0" fillId="35" borderId="10" xfId="48" applyNumberFormat="1" applyFont="1" applyFill="1" applyBorder="1" applyAlignment="1">
      <alignment/>
    </xf>
    <xf numFmtId="9" fontId="0" fillId="35" borderId="10" xfId="59" applyFont="1" applyFill="1" applyBorder="1" applyAlignment="1">
      <alignment/>
    </xf>
    <xf numFmtId="165" fontId="0" fillId="34" borderId="10" xfId="48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0" xfId="48" applyNumberFormat="1" applyFont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57" fillId="40" borderId="10" xfId="0" applyFont="1" applyFill="1" applyBorder="1" applyAlignment="1">
      <alignment/>
    </xf>
    <xf numFmtId="165" fontId="0" fillId="40" borderId="10" xfId="48" applyNumberFormat="1" applyFont="1" applyFill="1" applyBorder="1" applyAlignment="1">
      <alignment/>
    </xf>
    <xf numFmtId="10" fontId="55" fillId="0" borderId="10" xfId="0" applyNumberFormat="1" applyFont="1" applyFill="1" applyBorder="1" applyAlignment="1">
      <alignment/>
    </xf>
    <xf numFmtId="10" fontId="57" fillId="0" borderId="10" xfId="0" applyNumberFormat="1" applyFont="1" applyFill="1" applyBorder="1" applyAlignment="1">
      <alignment/>
    </xf>
    <xf numFmtId="10" fontId="55" fillId="2" borderId="10" xfId="0" applyNumberFormat="1" applyFont="1" applyFill="1" applyBorder="1" applyAlignment="1">
      <alignment/>
    </xf>
    <xf numFmtId="10" fontId="0" fillId="40" borderId="10" xfId="0" applyNumberFormat="1" applyFont="1" applyFill="1" applyBorder="1" applyAlignment="1">
      <alignment/>
    </xf>
    <xf numFmtId="10" fontId="58" fillId="0" borderId="10" xfId="0" applyNumberFormat="1" applyFont="1" applyFill="1" applyBorder="1" applyAlignment="1">
      <alignment/>
    </xf>
    <xf numFmtId="10" fontId="55" fillId="35" borderId="10" xfId="0" applyNumberFormat="1" applyFont="1" applyFill="1" applyBorder="1" applyAlignment="1">
      <alignment/>
    </xf>
    <xf numFmtId="164" fontId="57" fillId="0" borderId="10" xfId="0" applyNumberFormat="1" applyFont="1" applyFill="1" applyBorder="1" applyAlignment="1">
      <alignment/>
    </xf>
    <xf numFmtId="10" fontId="0" fillId="35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10" fontId="62" fillId="2" borderId="10" xfId="0" applyNumberFormat="1" applyFont="1" applyFill="1" applyBorder="1" applyAlignment="1">
      <alignment horizontal="center"/>
    </xf>
    <xf numFmtId="10" fontId="55" fillId="2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0" fontId="55" fillId="41" borderId="10" xfId="0" applyNumberFormat="1" applyFont="1" applyFill="1" applyBorder="1" applyAlignment="1">
      <alignment/>
    </xf>
    <xf numFmtId="10" fontId="57" fillId="35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10" fontId="55" fillId="42" borderId="10" xfId="0" applyNumberFormat="1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10" fontId="55" fillId="2" borderId="10" xfId="59" applyNumberFormat="1" applyFont="1" applyFill="1" applyBorder="1" applyAlignment="1">
      <alignment/>
    </xf>
    <xf numFmtId="10" fontId="57" fillId="40" borderId="10" xfId="0" applyNumberFormat="1" applyFont="1" applyFill="1" applyBorder="1" applyAlignment="1">
      <alignment/>
    </xf>
    <xf numFmtId="10" fontId="55" fillId="2" borderId="10" xfId="59" applyNumberFormat="1" applyFont="1" applyFill="1" applyBorder="1" applyAlignment="1">
      <alignment horizontal="center"/>
    </xf>
    <xf numFmtId="10" fontId="55" fillId="41" borderId="10" xfId="59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0" fontId="4" fillId="40" borderId="10" xfId="0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0" fontId="8" fillId="0" borderId="10" xfId="59" applyNumberFormat="1" applyFont="1" applyFill="1" applyBorder="1" applyAlignment="1">
      <alignment/>
    </xf>
    <xf numFmtId="10" fontId="8" fillId="43" borderId="10" xfId="5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5" fontId="5" fillId="44" borderId="12" xfId="48" applyNumberFormat="1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left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6" fillId="46" borderId="12" xfId="0" applyFont="1" applyFill="1" applyBorder="1" applyAlignment="1">
      <alignment horizontal="center" vertical="center" wrapText="1"/>
    </xf>
    <xf numFmtId="165" fontId="3" fillId="43" borderId="12" xfId="48" applyNumberFormat="1" applyFont="1" applyFill="1" applyBorder="1" applyAlignment="1">
      <alignment horizontal="center" vertical="center" wrapText="1"/>
    </xf>
    <xf numFmtId="165" fontId="3" fillId="43" borderId="13" xfId="48" applyNumberFormat="1" applyFont="1" applyFill="1" applyBorder="1" applyAlignment="1">
      <alignment horizontal="center" vertical="center" wrapText="1"/>
    </xf>
    <xf numFmtId="9" fontId="3" fillId="36" borderId="13" xfId="59" applyFont="1" applyFill="1" applyBorder="1" applyAlignment="1">
      <alignment horizontal="center" vertical="center" wrapText="1"/>
    </xf>
    <xf numFmtId="9" fontId="3" fillId="36" borderId="12" xfId="59" applyFont="1" applyFill="1" applyBorder="1" applyAlignment="1">
      <alignment horizontal="center" vertical="center" wrapText="1"/>
    </xf>
    <xf numFmtId="165" fontId="0" fillId="0" borderId="14" xfId="48" applyNumberFormat="1" applyFont="1" applyBorder="1" applyAlignment="1">
      <alignment/>
    </xf>
    <xf numFmtId="164" fontId="57" fillId="0" borderId="10" xfId="59" applyNumberFormat="1" applyFont="1" applyFill="1" applyBorder="1" applyAlignment="1">
      <alignment horizontal="center"/>
    </xf>
    <xf numFmtId="0" fontId="0" fillId="0" borderId="10" xfId="48" applyNumberFormat="1" applyFont="1" applyBorder="1" applyAlignment="1">
      <alignment/>
    </xf>
    <xf numFmtId="164" fontId="57" fillId="47" borderId="10" xfId="59" applyNumberFormat="1" applyFont="1" applyFill="1" applyBorder="1" applyAlignment="1">
      <alignment horizontal="center"/>
    </xf>
    <xf numFmtId="164" fontId="57" fillId="48" borderId="10" xfId="59" applyNumberFormat="1" applyFont="1" applyFill="1" applyBorder="1" applyAlignment="1">
      <alignment horizontal="center"/>
    </xf>
    <xf numFmtId="164" fontId="0" fillId="48" borderId="10" xfId="59" applyNumberFormat="1" applyFont="1" applyFill="1" applyBorder="1" applyAlignment="1">
      <alignment horizontal="center"/>
    </xf>
    <xf numFmtId="9" fontId="0" fillId="0" borderId="10" xfId="59" applyFont="1" applyBorder="1" applyAlignment="1">
      <alignment horizontal="center"/>
    </xf>
    <xf numFmtId="9" fontId="0" fillId="0" borderId="10" xfId="59" applyFont="1" applyBorder="1" applyAlignment="1">
      <alignment horizontal="right"/>
    </xf>
    <xf numFmtId="165" fontId="0" fillId="41" borderId="10" xfId="48" applyNumberFormat="1" applyFont="1" applyFill="1" applyBorder="1" applyAlignment="1">
      <alignment/>
    </xf>
    <xf numFmtId="164" fontId="0" fillId="0" borderId="10" xfId="59" applyNumberFormat="1" applyFont="1" applyBorder="1" applyAlignment="1">
      <alignment horizontal="center"/>
    </xf>
    <xf numFmtId="165" fontId="63" fillId="34" borderId="10" xfId="48" applyNumberFormat="1" applyFont="1" applyFill="1" applyBorder="1" applyAlignment="1">
      <alignment/>
    </xf>
    <xf numFmtId="9" fontId="0" fillId="41" borderId="10" xfId="59" applyFont="1" applyFill="1" applyBorder="1" applyAlignment="1">
      <alignment/>
    </xf>
    <xf numFmtId="164" fontId="56" fillId="47" borderId="10" xfId="59" applyNumberFormat="1" applyFont="1" applyFill="1" applyBorder="1" applyAlignment="1">
      <alignment horizontal="center"/>
    </xf>
    <xf numFmtId="164" fontId="56" fillId="48" borderId="10" xfId="59" applyNumberFormat="1" applyFont="1" applyFill="1" applyBorder="1" applyAlignment="1">
      <alignment horizontal="center"/>
    </xf>
    <xf numFmtId="164" fontId="0" fillId="47" borderId="10" xfId="59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164" fontId="8" fillId="47" borderId="10" xfId="59" applyNumberFormat="1" applyFont="1" applyFill="1" applyBorder="1" applyAlignment="1">
      <alignment horizontal="center"/>
    </xf>
    <xf numFmtId="165" fontId="59" fillId="34" borderId="10" xfId="48" applyNumberFormat="1" applyFont="1" applyFill="1" applyBorder="1" applyAlignment="1">
      <alignment/>
    </xf>
    <xf numFmtId="165" fontId="64" fillId="34" borderId="10" xfId="48" applyNumberFormat="1" applyFont="1" applyFill="1" applyBorder="1" applyAlignment="1">
      <alignment/>
    </xf>
    <xf numFmtId="165" fontId="59" fillId="0" borderId="10" xfId="48" applyNumberFormat="1" applyFont="1" applyFill="1" applyBorder="1" applyAlignment="1">
      <alignment/>
    </xf>
    <xf numFmtId="165" fontId="65" fillId="0" borderId="10" xfId="48" applyNumberFormat="1" applyFont="1" applyBorder="1" applyAlignment="1">
      <alignment/>
    </xf>
    <xf numFmtId="164" fontId="0" fillId="0" borderId="10" xfId="59" applyNumberFormat="1" applyFont="1" applyFill="1" applyBorder="1" applyAlignment="1">
      <alignment horizontal="center"/>
    </xf>
    <xf numFmtId="10" fontId="0" fillId="49" borderId="10" xfId="0" applyNumberFormat="1" applyFont="1" applyFill="1" applyBorder="1" applyAlignment="1">
      <alignment/>
    </xf>
    <xf numFmtId="9" fontId="0" fillId="35" borderId="10" xfId="61" applyFont="1" applyFill="1" applyBorder="1" applyAlignment="1">
      <alignment/>
    </xf>
    <xf numFmtId="9" fontId="0" fillId="40" borderId="10" xfId="59" applyFont="1" applyFill="1" applyBorder="1" applyAlignment="1">
      <alignment/>
    </xf>
    <xf numFmtId="0" fontId="4" fillId="0" borderId="10" xfId="0" applyFont="1" applyBorder="1" applyAlignment="1">
      <alignment/>
    </xf>
    <xf numFmtId="9" fontId="56" fillId="0" borderId="10" xfId="59" applyFont="1" applyBorder="1" applyAlignment="1">
      <alignment/>
    </xf>
    <xf numFmtId="10" fontId="57" fillId="2" borderId="10" xfId="0" applyNumberFormat="1" applyFont="1" applyFill="1" applyBorder="1" applyAlignment="1">
      <alignment/>
    </xf>
    <xf numFmtId="165" fontId="0" fillId="0" borderId="10" xfId="48" applyNumberFormat="1" applyFont="1" applyFill="1" applyBorder="1" applyAlignment="1">
      <alignment horizontal="center" wrapText="1"/>
    </xf>
    <xf numFmtId="10" fontId="62" fillId="50" borderId="10" xfId="0" applyNumberFormat="1" applyFont="1" applyFill="1" applyBorder="1" applyAlignment="1">
      <alignment horizontal="center"/>
    </xf>
    <xf numFmtId="164" fontId="0" fillId="12" borderId="10" xfId="59" applyNumberFormat="1" applyFont="1" applyFill="1" applyBorder="1" applyAlignment="1">
      <alignment/>
    </xf>
    <xf numFmtId="10" fontId="0" fillId="18" borderId="10" xfId="59" applyNumberFormat="1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Porcentaje 2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5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3.7109375" style="0" customWidth="1"/>
    <col min="2" max="2" width="45.57421875" style="0" customWidth="1"/>
    <col min="3" max="3" width="14.8515625" style="8" customWidth="1"/>
    <col min="4" max="4" width="20.28125" style="8" bestFit="1" customWidth="1"/>
    <col min="5" max="5" width="12.421875" style="8" bestFit="1" customWidth="1"/>
    <col min="6" max="6" width="53.28125" style="4" customWidth="1"/>
    <col min="7" max="7" width="26.421875" style="4" customWidth="1"/>
    <col min="8" max="8" width="12.7109375" style="4" customWidth="1"/>
    <col min="9" max="10" width="43.140625" style="4" customWidth="1"/>
    <col min="11" max="11" width="8.8515625" style="23" customWidth="1"/>
    <col min="12" max="12" width="11.00390625" style="0" customWidth="1"/>
    <col min="13" max="13" width="10.57421875" style="0" bestFit="1" customWidth="1"/>
    <col min="14" max="14" width="10.57421875" style="0" customWidth="1"/>
    <col min="15" max="16" width="10.421875" style="4" customWidth="1"/>
    <col min="17" max="17" width="10.421875" style="0" customWidth="1"/>
    <col min="18" max="18" width="10.57421875" style="0" customWidth="1"/>
    <col min="19" max="19" width="10.421875" style="0" customWidth="1"/>
    <col min="20" max="24" width="10.57421875" style="0" customWidth="1"/>
    <col min="25" max="25" width="10.7109375" style="0" customWidth="1"/>
    <col min="26" max="29" width="10.57421875" style="0" customWidth="1"/>
    <col min="30" max="30" width="10.57421875" style="19" customWidth="1"/>
    <col min="31" max="31" width="10.28125" style="19" customWidth="1"/>
    <col min="32" max="32" width="10.57421875" style="19" customWidth="1"/>
    <col min="33" max="33" width="10.28125" style="19" customWidth="1"/>
    <col min="34" max="34" width="10.28125" style="0" customWidth="1"/>
    <col min="35" max="36" width="10.00390625" style="0" customWidth="1"/>
    <col min="37" max="37" width="10.00390625" style="25" customWidth="1"/>
    <col min="38" max="38" width="11.00390625" style="0" customWidth="1"/>
    <col min="39" max="54" width="10.8515625" style="0" customWidth="1"/>
    <col min="55" max="58" width="8.00390625" style="0" customWidth="1"/>
    <col min="59" max="59" width="8.00390625" style="3" customWidth="1"/>
    <col min="60" max="66" width="8.00390625" style="7" customWidth="1"/>
    <col min="67" max="67" width="12.00390625" style="7" customWidth="1"/>
    <col min="68" max="70" width="8.00390625" style="7" customWidth="1"/>
    <col min="71" max="71" width="9.57421875" style="7" customWidth="1"/>
    <col min="72" max="74" width="10.7109375" style="7" customWidth="1"/>
    <col min="75" max="75" width="9.140625" style="3" bestFit="1" customWidth="1"/>
    <col min="76" max="78" width="8.28125" style="11" customWidth="1"/>
    <col min="79" max="79" width="9.00390625" style="11" customWidth="1"/>
    <col min="80" max="88" width="8.28125" style="11" customWidth="1"/>
    <col min="89" max="95" width="10.28125" style="11" customWidth="1"/>
    <col min="96" max="99" width="7.8515625" style="0" customWidth="1"/>
    <col min="100" max="100" width="7.8515625" style="2" customWidth="1"/>
    <col min="101" max="106" width="7.8515625" style="0" customWidth="1"/>
    <col min="107" max="107" width="8.28125" style="0" customWidth="1"/>
    <col min="108" max="108" width="9.57421875" style="0" customWidth="1"/>
    <col min="109" max="109" width="10.57421875" style="0" customWidth="1"/>
    <col min="110" max="110" width="10.00390625" style="0" customWidth="1"/>
    <col min="111" max="111" width="8.140625" style="0" customWidth="1"/>
    <col min="112" max="112" width="9.7109375" style="0" customWidth="1"/>
    <col min="113" max="115" width="9.57421875" style="0" customWidth="1"/>
    <col min="116" max="160" width="11.57421875" style="0" customWidth="1"/>
    <col min="161" max="162" width="11.421875" style="3" customWidth="1"/>
    <col min="163" max="164" width="11.57421875" style="0" customWidth="1"/>
    <col min="165" max="16384" width="11.421875" style="3" customWidth="1"/>
  </cols>
  <sheetData>
    <row r="1" spans="1:164" ht="48">
      <c r="A1" s="106" t="s">
        <v>305</v>
      </c>
      <c r="B1" s="106" t="s">
        <v>309</v>
      </c>
      <c r="C1" s="106" t="s">
        <v>5</v>
      </c>
      <c r="D1" s="106" t="s">
        <v>304</v>
      </c>
      <c r="E1" s="107" t="s">
        <v>306</v>
      </c>
      <c r="F1" s="108" t="s">
        <v>2</v>
      </c>
      <c r="G1" s="109" t="s">
        <v>60</v>
      </c>
      <c r="H1" s="109" t="s">
        <v>63</v>
      </c>
      <c r="I1" s="109" t="s">
        <v>161</v>
      </c>
      <c r="J1" s="109" t="s">
        <v>168</v>
      </c>
      <c r="K1" s="110" t="s">
        <v>140</v>
      </c>
      <c r="L1" s="111" t="s">
        <v>19</v>
      </c>
      <c r="M1" s="111" t="s">
        <v>20</v>
      </c>
      <c r="N1" s="112" t="s">
        <v>245</v>
      </c>
      <c r="O1" s="113" t="s">
        <v>31</v>
      </c>
      <c r="P1" s="113" t="s">
        <v>32</v>
      </c>
      <c r="Q1" s="113" t="s">
        <v>12</v>
      </c>
      <c r="R1" s="113" t="s">
        <v>13</v>
      </c>
      <c r="S1" s="113" t="s">
        <v>3</v>
      </c>
      <c r="T1" s="113" t="s">
        <v>4</v>
      </c>
      <c r="U1" s="113" t="s">
        <v>0</v>
      </c>
      <c r="V1" s="113" t="s">
        <v>1</v>
      </c>
      <c r="W1" s="113" t="s">
        <v>16</v>
      </c>
      <c r="X1" s="113" t="s">
        <v>17</v>
      </c>
      <c r="Y1" s="113" t="s">
        <v>18</v>
      </c>
      <c r="Z1" s="113" t="s">
        <v>36</v>
      </c>
      <c r="AA1" s="113" t="s">
        <v>69</v>
      </c>
      <c r="AB1" s="113" t="s">
        <v>71</v>
      </c>
      <c r="AC1" s="113" t="s">
        <v>75</v>
      </c>
      <c r="AD1" s="113" t="s">
        <v>77</v>
      </c>
      <c r="AE1" s="113" t="s">
        <v>119</v>
      </c>
      <c r="AF1" s="113" t="s">
        <v>125</v>
      </c>
      <c r="AG1" s="113" t="s">
        <v>138</v>
      </c>
      <c r="AH1" s="113" t="s">
        <v>144</v>
      </c>
      <c r="AI1" s="113" t="s">
        <v>147</v>
      </c>
      <c r="AJ1" s="113" t="s">
        <v>148</v>
      </c>
      <c r="AK1" s="113" t="s">
        <v>156</v>
      </c>
      <c r="AL1" s="113" t="s">
        <v>176</v>
      </c>
      <c r="AM1" s="113" t="s">
        <v>182</v>
      </c>
      <c r="AN1" s="113" t="s">
        <v>192</v>
      </c>
      <c r="AO1" s="113" t="s">
        <v>191</v>
      </c>
      <c r="AP1" s="113" t="s">
        <v>195</v>
      </c>
      <c r="AQ1" s="113" t="s">
        <v>222</v>
      </c>
      <c r="AR1" s="113" t="s">
        <v>223</v>
      </c>
      <c r="AS1" s="113" t="s">
        <v>239</v>
      </c>
      <c r="AT1" s="113" t="s">
        <v>240</v>
      </c>
      <c r="AU1" s="113" t="s">
        <v>274</v>
      </c>
      <c r="AV1" s="113" t="s">
        <v>275</v>
      </c>
      <c r="AW1" s="113" t="s">
        <v>295</v>
      </c>
      <c r="AX1" s="113" t="s">
        <v>299</v>
      </c>
      <c r="AY1" s="113" t="s">
        <v>407</v>
      </c>
      <c r="AZ1" s="113" t="s">
        <v>411</v>
      </c>
      <c r="BA1" s="113" t="s">
        <v>416</v>
      </c>
      <c r="BB1" s="113" t="s">
        <v>433</v>
      </c>
      <c r="BC1" s="114" t="s">
        <v>46</v>
      </c>
      <c r="BD1" s="114" t="s">
        <v>47</v>
      </c>
      <c r="BE1" s="114" t="s">
        <v>48</v>
      </c>
      <c r="BF1" s="114" t="s">
        <v>49</v>
      </c>
      <c r="BG1" s="114" t="s">
        <v>50</v>
      </c>
      <c r="BH1" s="114" t="s">
        <v>51</v>
      </c>
      <c r="BI1" s="114" t="s">
        <v>68</v>
      </c>
      <c r="BJ1" s="114" t="s">
        <v>78</v>
      </c>
      <c r="BK1" s="114" t="s">
        <v>121</v>
      </c>
      <c r="BL1" s="114" t="s">
        <v>146</v>
      </c>
      <c r="BM1" s="114" t="s">
        <v>149</v>
      </c>
      <c r="BN1" s="114" t="s">
        <v>178</v>
      </c>
      <c r="BO1" s="114" t="s">
        <v>325</v>
      </c>
      <c r="BP1" s="114" t="s">
        <v>326</v>
      </c>
      <c r="BQ1" s="114" t="s">
        <v>327</v>
      </c>
      <c r="BR1" s="114" t="s">
        <v>328</v>
      </c>
      <c r="BS1" s="114" t="s">
        <v>329</v>
      </c>
      <c r="BT1" s="114" t="s">
        <v>330</v>
      </c>
      <c r="BU1" s="114" t="s">
        <v>412</v>
      </c>
      <c r="BV1" s="114" t="s">
        <v>434</v>
      </c>
      <c r="BW1" s="115" t="s">
        <v>59</v>
      </c>
      <c r="BX1" s="115" t="s">
        <v>58</v>
      </c>
      <c r="BY1" s="115" t="s">
        <v>57</v>
      </c>
      <c r="BZ1" s="115" t="s">
        <v>56</v>
      </c>
      <c r="CA1" s="115" t="s">
        <v>55</v>
      </c>
      <c r="CB1" s="115" t="s">
        <v>54</v>
      </c>
      <c r="CC1" s="115" t="s">
        <v>53</v>
      </c>
      <c r="CD1" s="115" t="s">
        <v>74</v>
      </c>
      <c r="CE1" s="115" t="s">
        <v>79</v>
      </c>
      <c r="CF1" s="115" t="s">
        <v>123</v>
      </c>
      <c r="CG1" s="115" t="s">
        <v>139</v>
      </c>
      <c r="CH1" s="115" t="s">
        <v>157</v>
      </c>
      <c r="CI1" s="115" t="s">
        <v>179</v>
      </c>
      <c r="CJ1" s="116" t="s">
        <v>185</v>
      </c>
      <c r="CK1" s="116" t="s">
        <v>194</v>
      </c>
      <c r="CL1" s="116" t="s">
        <v>226</v>
      </c>
      <c r="CM1" s="116" t="s">
        <v>233</v>
      </c>
      <c r="CN1" s="116" t="s">
        <v>259</v>
      </c>
      <c r="CO1" s="116" t="s">
        <v>331</v>
      </c>
      <c r="CP1" s="116" t="s">
        <v>420</v>
      </c>
      <c r="CQ1" s="116" t="s">
        <v>421</v>
      </c>
      <c r="CR1" s="117" t="s">
        <v>45</v>
      </c>
      <c r="CS1" s="118" t="s">
        <v>44</v>
      </c>
      <c r="CT1" s="118" t="s">
        <v>43</v>
      </c>
      <c r="CU1" s="118" t="s">
        <v>42</v>
      </c>
      <c r="CV1" s="118" t="s">
        <v>41</v>
      </c>
      <c r="CW1" s="118" t="s">
        <v>70</v>
      </c>
      <c r="CX1" s="118" t="s">
        <v>72</v>
      </c>
      <c r="CY1" s="118" t="s">
        <v>76</v>
      </c>
      <c r="CZ1" s="118" t="s">
        <v>80</v>
      </c>
      <c r="DA1" s="118" t="s">
        <v>120</v>
      </c>
      <c r="DB1" s="118" t="s">
        <v>126</v>
      </c>
      <c r="DC1" s="118" t="s">
        <v>143</v>
      </c>
      <c r="DD1" s="118" t="s">
        <v>145</v>
      </c>
      <c r="DE1" s="118" t="s">
        <v>150</v>
      </c>
      <c r="DF1" s="118" t="s">
        <v>151</v>
      </c>
      <c r="DG1" s="118" t="s">
        <v>158</v>
      </c>
      <c r="DH1" s="118" t="s">
        <v>177</v>
      </c>
      <c r="DI1" s="118" t="s">
        <v>184</v>
      </c>
      <c r="DJ1" s="118" t="s">
        <v>183</v>
      </c>
      <c r="DK1" s="118" t="s">
        <v>193</v>
      </c>
      <c r="DL1" s="118" t="s">
        <v>196</v>
      </c>
      <c r="DM1" s="118" t="s">
        <v>231</v>
      </c>
      <c r="DN1" s="118" t="s">
        <v>232</v>
      </c>
      <c r="DO1" s="118" t="s">
        <v>243</v>
      </c>
      <c r="DP1" s="118" t="s">
        <v>244</v>
      </c>
      <c r="DQ1" s="118" t="s">
        <v>276</v>
      </c>
      <c r="DR1" s="118" t="s">
        <v>277</v>
      </c>
      <c r="DS1" s="51" t="s">
        <v>296</v>
      </c>
      <c r="DT1" s="51" t="s">
        <v>300</v>
      </c>
      <c r="DU1" s="51" t="s">
        <v>408</v>
      </c>
      <c r="DV1" s="51" t="s">
        <v>413</v>
      </c>
      <c r="DW1" s="51" t="s">
        <v>417</v>
      </c>
      <c r="DX1" s="51" t="s">
        <v>435</v>
      </c>
      <c r="DY1" s="52" t="s">
        <v>217</v>
      </c>
      <c r="DZ1" s="53" t="s">
        <v>218</v>
      </c>
      <c r="EA1" s="52" t="s">
        <v>215</v>
      </c>
      <c r="EB1" s="53" t="s">
        <v>216</v>
      </c>
      <c r="EC1" s="52" t="s">
        <v>214</v>
      </c>
      <c r="ED1" s="53" t="s">
        <v>219</v>
      </c>
      <c r="EE1" s="52" t="s">
        <v>212</v>
      </c>
      <c r="EF1" s="53" t="s">
        <v>213</v>
      </c>
      <c r="EG1" s="52" t="s">
        <v>209</v>
      </c>
      <c r="EH1" s="53" t="s">
        <v>210</v>
      </c>
      <c r="EI1" s="52" t="s">
        <v>207</v>
      </c>
      <c r="EJ1" s="53" t="s">
        <v>208</v>
      </c>
      <c r="EK1" s="52" t="s">
        <v>220</v>
      </c>
      <c r="EL1" s="53" t="s">
        <v>221</v>
      </c>
      <c r="EM1" s="52" t="s">
        <v>224</v>
      </c>
      <c r="EN1" s="53" t="s">
        <v>225</v>
      </c>
      <c r="EO1" s="52" t="s">
        <v>237</v>
      </c>
      <c r="EP1" s="53" t="s">
        <v>238</v>
      </c>
      <c r="EQ1" s="52" t="s">
        <v>241</v>
      </c>
      <c r="ER1" s="53" t="s">
        <v>242</v>
      </c>
      <c r="ES1" s="52" t="s">
        <v>278</v>
      </c>
      <c r="ET1" s="53" t="s">
        <v>279</v>
      </c>
      <c r="EU1" s="52" t="s">
        <v>280</v>
      </c>
      <c r="EV1" s="53" t="s">
        <v>281</v>
      </c>
      <c r="EW1" s="52" t="s">
        <v>298</v>
      </c>
      <c r="EX1" s="53" t="s">
        <v>297</v>
      </c>
      <c r="EY1" s="52" t="s">
        <v>302</v>
      </c>
      <c r="EZ1" s="53" t="s">
        <v>303</v>
      </c>
      <c r="FA1" s="52" t="s">
        <v>409</v>
      </c>
      <c r="FB1" s="53" t="s">
        <v>410</v>
      </c>
      <c r="FC1" s="52" t="s">
        <v>414</v>
      </c>
      <c r="FD1" s="53" t="s">
        <v>415</v>
      </c>
      <c r="FE1" s="52" t="s">
        <v>418</v>
      </c>
      <c r="FF1" s="53" t="s">
        <v>419</v>
      </c>
      <c r="FG1" s="52" t="s">
        <v>436</v>
      </c>
      <c r="FH1" s="53" t="s">
        <v>437</v>
      </c>
    </row>
    <row r="2" spans="1:256" s="58" customFormat="1" ht="12.75">
      <c r="A2" s="47" t="s">
        <v>270</v>
      </c>
      <c r="B2" s="9" t="s">
        <v>431</v>
      </c>
      <c r="C2" s="39" t="s">
        <v>24</v>
      </c>
      <c r="D2" s="39" t="s">
        <v>287</v>
      </c>
      <c r="E2" s="39" t="s">
        <v>272</v>
      </c>
      <c r="F2" s="9" t="s">
        <v>25</v>
      </c>
      <c r="G2" s="9" t="s">
        <v>323</v>
      </c>
      <c r="H2" s="9" t="s">
        <v>61</v>
      </c>
      <c r="I2" s="9" t="s">
        <v>162</v>
      </c>
      <c r="J2" s="9" t="s">
        <v>174</v>
      </c>
      <c r="K2" s="61"/>
      <c r="L2" s="75"/>
      <c r="M2" s="62"/>
      <c r="N2" s="62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150">
        <v>0.6765</v>
      </c>
      <c r="BB2" s="150">
        <v>0.5714</v>
      </c>
      <c r="BC2" s="50"/>
      <c r="BD2" s="50"/>
      <c r="BE2" s="50"/>
      <c r="BF2" s="50"/>
      <c r="BG2" s="54"/>
      <c r="BH2" s="54"/>
      <c r="BI2" s="54"/>
      <c r="BJ2" s="54"/>
      <c r="BK2" s="54"/>
      <c r="BL2" s="54"/>
      <c r="BM2" s="54"/>
      <c r="BN2" s="54"/>
      <c r="BO2" s="54"/>
      <c r="BP2" s="62"/>
      <c r="BQ2" s="62"/>
      <c r="BR2" s="62"/>
      <c r="BS2" s="62"/>
      <c r="BT2" s="62"/>
      <c r="BU2" s="62"/>
      <c r="BV2" s="62">
        <f>AVERAGE(BA2:BB2)</f>
        <v>0.62395</v>
      </c>
      <c r="BW2" s="78"/>
      <c r="BX2" s="78"/>
      <c r="BY2" s="78"/>
      <c r="BZ2" s="78"/>
      <c r="CA2" s="78"/>
      <c r="CB2" s="78"/>
      <c r="CC2" s="78"/>
      <c r="CD2" s="78"/>
      <c r="CE2" s="78"/>
      <c r="CF2" s="54"/>
      <c r="CG2" s="54"/>
      <c r="CH2" s="54"/>
      <c r="CI2" s="54"/>
      <c r="CJ2" s="54"/>
      <c r="CK2" s="54"/>
      <c r="CL2" s="54"/>
      <c r="CM2" s="54"/>
      <c r="CN2" s="54">
        <f>35+8</f>
        <v>43</v>
      </c>
      <c r="CO2" s="54">
        <f>131+18</f>
        <v>149</v>
      </c>
      <c r="CP2" s="54">
        <v>208</v>
      </c>
      <c r="CQ2" s="54">
        <v>306</v>
      </c>
      <c r="CR2" s="55"/>
      <c r="CS2" s="55"/>
      <c r="CT2" s="55"/>
      <c r="CU2" s="55"/>
      <c r="CV2" s="55"/>
      <c r="CW2" s="64"/>
      <c r="CX2" s="64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>
        <v>0.85</v>
      </c>
      <c r="DU2" s="55">
        <v>0.86</v>
      </c>
      <c r="DV2" s="55">
        <v>0.73</v>
      </c>
      <c r="DW2" s="55">
        <v>0.6111111111111112</v>
      </c>
      <c r="DX2" s="55">
        <v>0.91</v>
      </c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47"/>
      <c r="EL2" s="47"/>
      <c r="EM2" s="120"/>
      <c r="EN2" s="12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58" customFormat="1" ht="12.75">
      <c r="A3" s="47" t="s">
        <v>26</v>
      </c>
      <c r="B3" s="28" t="s">
        <v>200</v>
      </c>
      <c r="C3" s="39" t="s">
        <v>24</v>
      </c>
      <c r="D3" s="39" t="s">
        <v>292</v>
      </c>
      <c r="E3" s="39" t="s">
        <v>249</v>
      </c>
      <c r="F3" s="9" t="s">
        <v>25</v>
      </c>
      <c r="G3" s="9" t="s">
        <v>323</v>
      </c>
      <c r="H3" s="9" t="s">
        <v>61</v>
      </c>
      <c r="I3" s="9" t="s">
        <v>162</v>
      </c>
      <c r="J3" s="9" t="s">
        <v>174</v>
      </c>
      <c r="K3" s="79"/>
      <c r="L3" s="59"/>
      <c r="M3" s="60"/>
      <c r="N3" s="60"/>
      <c r="O3" s="62">
        <v>0.2986</v>
      </c>
      <c r="P3" s="62">
        <v>0.127</v>
      </c>
      <c r="Q3" s="62">
        <v>0.3036</v>
      </c>
      <c r="R3" s="62">
        <v>0.0847</v>
      </c>
      <c r="S3" s="62">
        <v>0.2531</v>
      </c>
      <c r="T3" s="62">
        <v>0.14</v>
      </c>
      <c r="U3" s="62">
        <v>0.3938</v>
      </c>
      <c r="V3" s="62">
        <v>0.0652</v>
      </c>
      <c r="W3" s="62">
        <v>0.3427</v>
      </c>
      <c r="X3" s="62">
        <v>0.1776</v>
      </c>
      <c r="Y3" s="62">
        <v>0.3901</v>
      </c>
      <c r="Z3" s="62">
        <v>0.1098</v>
      </c>
      <c r="AA3" s="62">
        <v>0.4371</v>
      </c>
      <c r="AB3" s="62">
        <v>0.1533</v>
      </c>
      <c r="AC3" s="62">
        <v>0.6859</v>
      </c>
      <c r="AD3" s="62">
        <v>0.2157</v>
      </c>
      <c r="AE3" s="62">
        <v>0.6017</v>
      </c>
      <c r="AF3" s="62">
        <v>0.2155</v>
      </c>
      <c r="AG3" s="62">
        <v>0.5223</v>
      </c>
      <c r="AH3" s="62">
        <v>0.1849</v>
      </c>
      <c r="AI3" s="62">
        <v>0.6336</v>
      </c>
      <c r="AJ3" s="62">
        <v>0.2471</v>
      </c>
      <c r="AK3" s="80">
        <v>0.5801</v>
      </c>
      <c r="AL3" s="80">
        <v>0.3171</v>
      </c>
      <c r="AM3" s="80">
        <v>0.5088</v>
      </c>
      <c r="AN3" s="80">
        <v>0.3083</v>
      </c>
      <c r="AO3" s="80">
        <v>0.4827</v>
      </c>
      <c r="AP3" s="81">
        <v>0.2016</v>
      </c>
      <c r="AQ3" s="81">
        <v>0.5195</v>
      </c>
      <c r="AR3" s="81">
        <v>0.1556</v>
      </c>
      <c r="AS3" s="81">
        <v>0.5424354243542435</v>
      </c>
      <c r="AT3" s="81">
        <v>0.104</v>
      </c>
      <c r="AU3" s="81">
        <v>0.4063047285464098</v>
      </c>
      <c r="AV3" s="81">
        <v>0.12280701754385964</v>
      </c>
      <c r="AW3" s="81">
        <v>0.355</v>
      </c>
      <c r="AX3" s="81">
        <v>0.1569</v>
      </c>
      <c r="AY3" s="81">
        <v>0.367</v>
      </c>
      <c r="AZ3" s="81">
        <v>0.0588</v>
      </c>
      <c r="BA3" s="81">
        <v>0.39356814701378257</v>
      </c>
      <c r="BB3" s="81">
        <v>0.0645</v>
      </c>
      <c r="BC3" s="60">
        <f>AVERAGE(O3:P3)</f>
        <v>0.2128</v>
      </c>
      <c r="BD3" s="60">
        <f>AVERAGE(Q3:R3)</f>
        <v>0.19415</v>
      </c>
      <c r="BE3" s="60">
        <f>AVERAGE(S3:T3)</f>
        <v>0.19655</v>
      </c>
      <c r="BF3" s="60">
        <f>AVERAGE(U3:V3)</f>
        <v>0.22949999999999998</v>
      </c>
      <c r="BG3" s="62">
        <f>AVERAGE(W3:X3)</f>
        <v>0.26015</v>
      </c>
      <c r="BH3" s="62">
        <f>(Z3+Y3)/2</f>
        <v>0.24995</v>
      </c>
      <c r="BI3" s="62">
        <f>AVERAGE(AA3:AB3)</f>
        <v>0.2952</v>
      </c>
      <c r="BJ3" s="62">
        <f>AVERAGE(AC3:AD3)</f>
        <v>0.4508</v>
      </c>
      <c r="BK3" s="62">
        <f>AVERAGE(AE3:AF3)</f>
        <v>0.4086</v>
      </c>
      <c r="BL3" s="62">
        <f>AVERAGE(AG3:AH3)</f>
        <v>0.3536</v>
      </c>
      <c r="BM3" s="62">
        <f>AVERAGE(AI3:AJ3)</f>
        <v>0.44035</v>
      </c>
      <c r="BN3" s="62">
        <f>AVERAGE(AK3:AL3)</f>
        <v>0.4486</v>
      </c>
      <c r="BO3" s="62">
        <f>AVERAGE(AM3:AN3)</f>
        <v>0.40855</v>
      </c>
      <c r="BP3" s="62">
        <f>AVERAGE(AO3:AP3)</f>
        <v>0.34215</v>
      </c>
      <c r="BQ3" s="62">
        <f>AVERAGE(AQ3:AR3)</f>
        <v>0.33754999999999996</v>
      </c>
      <c r="BR3" s="62">
        <f>AVERAGE(AS3:AT3)</f>
        <v>0.32321771217712175</v>
      </c>
      <c r="BS3" s="62">
        <f>AVERAGE(AU3:AV3)</f>
        <v>0.2645558730451347</v>
      </c>
      <c r="BT3" s="62">
        <f>AVERAGE(AW3:AX3)</f>
        <v>0.25595</v>
      </c>
      <c r="BU3" s="62">
        <f>AVERAGE(AY3:AZ3)</f>
        <v>0.2129</v>
      </c>
      <c r="BV3" s="62">
        <f>AVERAGE(BA3:BB3)</f>
        <v>0.22903407350689128</v>
      </c>
      <c r="BW3" s="54"/>
      <c r="BX3" s="54"/>
      <c r="BY3" s="54"/>
      <c r="BZ3" s="54"/>
      <c r="CA3" s="54"/>
      <c r="CB3" s="54"/>
      <c r="CC3" s="54"/>
      <c r="CD3" s="44"/>
      <c r="CE3" s="54">
        <v>1418</v>
      </c>
      <c r="CF3" s="54">
        <v>1465</v>
      </c>
      <c r="CG3" s="54">
        <v>1518</v>
      </c>
      <c r="CH3" s="54">
        <v>1509</v>
      </c>
      <c r="CI3" s="54">
        <v>1536</v>
      </c>
      <c r="CJ3" s="54">
        <v>1630</v>
      </c>
      <c r="CK3" s="54">
        <f>1599+57</f>
        <v>1656</v>
      </c>
      <c r="CL3" s="54">
        <f>1579+52</f>
        <v>1631</v>
      </c>
      <c r="CM3" s="54">
        <f>1488+85</f>
        <v>1573</v>
      </c>
      <c r="CN3" s="54">
        <f>1549+68</f>
        <v>1617</v>
      </c>
      <c r="CO3" s="54">
        <f>1644+36</f>
        <v>1680</v>
      </c>
      <c r="CP3" s="54">
        <v>1755</v>
      </c>
      <c r="CQ3" s="54">
        <v>1891</v>
      </c>
      <c r="CR3" s="55"/>
      <c r="CS3" s="55"/>
      <c r="CT3" s="55"/>
      <c r="CU3" s="55"/>
      <c r="CV3" s="55"/>
      <c r="CW3" s="64">
        <v>0.84</v>
      </c>
      <c r="CX3" s="64">
        <v>0.85</v>
      </c>
      <c r="CY3" s="55">
        <v>0.69</v>
      </c>
      <c r="CZ3" s="55">
        <v>0.85</v>
      </c>
      <c r="DA3" s="55">
        <v>0.54</v>
      </c>
      <c r="DB3" s="55">
        <v>0.79</v>
      </c>
      <c r="DC3" s="55">
        <v>0.54</v>
      </c>
      <c r="DD3" s="55">
        <v>0.79</v>
      </c>
      <c r="DE3" s="55">
        <v>0.61</v>
      </c>
      <c r="DF3" s="55">
        <v>0.75</v>
      </c>
      <c r="DG3" s="55">
        <v>0.81</v>
      </c>
      <c r="DH3" s="55">
        <v>0.77</v>
      </c>
      <c r="DI3" s="55">
        <v>0.6</v>
      </c>
      <c r="DJ3" s="55">
        <v>0.76</v>
      </c>
      <c r="DK3" s="55">
        <v>0.54</v>
      </c>
      <c r="DL3" s="55">
        <v>0.75</v>
      </c>
      <c r="DM3" s="55">
        <v>0.61</v>
      </c>
      <c r="DN3" s="55">
        <v>0.67</v>
      </c>
      <c r="DO3" s="55">
        <v>0.47368421052631576</v>
      </c>
      <c r="DP3" s="55">
        <v>0.6966666666666667</v>
      </c>
      <c r="DQ3" s="55">
        <v>0.43137254901960786</v>
      </c>
      <c r="DR3" s="55">
        <v>0.67</v>
      </c>
      <c r="DS3" s="55">
        <v>0.44</v>
      </c>
      <c r="DT3" s="55">
        <v>0.66</v>
      </c>
      <c r="DU3" s="55">
        <v>0.32</v>
      </c>
      <c r="DV3" s="55">
        <v>0.71</v>
      </c>
      <c r="DW3" s="55">
        <v>0.5833333333333334</v>
      </c>
      <c r="DX3" s="55">
        <v>0.81</v>
      </c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58" customFormat="1" ht="12.75">
      <c r="A4" s="47" t="s">
        <v>27</v>
      </c>
      <c r="B4" s="9" t="s">
        <v>198</v>
      </c>
      <c r="C4" s="39" t="s">
        <v>24</v>
      </c>
      <c r="D4" s="39" t="s">
        <v>288</v>
      </c>
      <c r="E4" s="39" t="s">
        <v>247</v>
      </c>
      <c r="F4" s="9" t="s">
        <v>25</v>
      </c>
      <c r="G4" s="9" t="s">
        <v>323</v>
      </c>
      <c r="H4" s="9" t="s">
        <v>61</v>
      </c>
      <c r="I4" s="9" t="s">
        <v>162</v>
      </c>
      <c r="J4" s="9" t="s">
        <v>174</v>
      </c>
      <c r="K4" s="79"/>
      <c r="L4" s="59"/>
      <c r="M4" s="60"/>
      <c r="N4" s="60"/>
      <c r="O4" s="62">
        <v>0.4143</v>
      </c>
      <c r="P4" s="62">
        <v>0.1373</v>
      </c>
      <c r="Q4" s="62">
        <v>0.3709</v>
      </c>
      <c r="R4" s="62">
        <v>0.0976</v>
      </c>
      <c r="S4" s="62">
        <v>0.35</v>
      </c>
      <c r="T4" s="62">
        <v>0.359</v>
      </c>
      <c r="U4" s="62">
        <v>0.4163</v>
      </c>
      <c r="V4" s="62">
        <v>0.15</v>
      </c>
      <c r="W4" s="62">
        <v>0.4061</v>
      </c>
      <c r="X4" s="62">
        <v>0.1196</v>
      </c>
      <c r="Y4" s="62">
        <v>0.4008</v>
      </c>
      <c r="Z4" s="62">
        <v>0.1758</v>
      </c>
      <c r="AA4" s="62">
        <v>0.4597</v>
      </c>
      <c r="AB4" s="62">
        <v>0.1765</v>
      </c>
      <c r="AC4" s="62">
        <v>0.5503</v>
      </c>
      <c r="AD4" s="62">
        <v>0.087</v>
      </c>
      <c r="AE4" s="62">
        <v>0.638</v>
      </c>
      <c r="AF4" s="62">
        <v>0.2857</v>
      </c>
      <c r="AG4" s="62">
        <v>0.5006</v>
      </c>
      <c r="AH4" s="62">
        <v>0.2273</v>
      </c>
      <c r="AI4" s="62">
        <v>0.4607</v>
      </c>
      <c r="AJ4" s="62">
        <v>0.1590909090909091</v>
      </c>
      <c r="AK4" s="80">
        <v>0.5233</v>
      </c>
      <c r="AL4" s="80">
        <v>0.3117</v>
      </c>
      <c r="AM4" s="80">
        <v>0.4748</v>
      </c>
      <c r="AN4" s="80">
        <v>0.2267</v>
      </c>
      <c r="AO4" s="80">
        <v>0.4726</v>
      </c>
      <c r="AP4" s="81">
        <v>0.2609</v>
      </c>
      <c r="AQ4" s="81">
        <v>0.3691</v>
      </c>
      <c r="AR4" s="81">
        <v>0.1279</v>
      </c>
      <c r="AS4" s="81">
        <v>0.41186027619821286</v>
      </c>
      <c r="AT4" s="81">
        <v>0.05172413793103448</v>
      </c>
      <c r="AU4" s="81">
        <v>0.4055045871559633</v>
      </c>
      <c r="AV4" s="81">
        <v>0.1650485436893204</v>
      </c>
      <c r="AW4" s="81">
        <v>0.4973</v>
      </c>
      <c r="AX4" s="81">
        <v>0.2</v>
      </c>
      <c r="AY4" s="81">
        <v>0.4053</v>
      </c>
      <c r="AZ4" s="81">
        <v>0.0682</v>
      </c>
      <c r="BA4" s="81">
        <v>0.5118279569892473</v>
      </c>
      <c r="BB4" s="81">
        <v>0.1625</v>
      </c>
      <c r="BC4" s="60">
        <f>AVERAGE(O4:P4)</f>
        <v>0.2758</v>
      </c>
      <c r="BD4" s="60">
        <f>AVERAGE(Q4:R4)</f>
        <v>0.23425</v>
      </c>
      <c r="BE4" s="60">
        <f>AVERAGE(S4:T4)</f>
        <v>0.3545</v>
      </c>
      <c r="BF4" s="60">
        <f>AVERAGE(U4:V4)</f>
        <v>0.28315</v>
      </c>
      <c r="BG4" s="62">
        <f>AVERAGE(W4:X4)</f>
        <v>0.26285000000000003</v>
      </c>
      <c r="BH4" s="62">
        <f>(Z4+Y4)/2</f>
        <v>0.2883</v>
      </c>
      <c r="BI4" s="62">
        <f>AVERAGE(AA4:AB4)</f>
        <v>0.3181</v>
      </c>
      <c r="BJ4" s="62">
        <f>AVERAGE(AC4:AD4)</f>
        <v>0.31865</v>
      </c>
      <c r="BK4" s="62">
        <f>AVERAGE(AE4:AF4)</f>
        <v>0.46185</v>
      </c>
      <c r="BL4" s="62">
        <f>AVERAGE(AG4:AH4)</f>
        <v>0.36395</v>
      </c>
      <c r="BM4" s="62">
        <f>AVERAGE(AI4:AJ4)</f>
        <v>0.30989545454545453</v>
      </c>
      <c r="BN4" s="62">
        <f>AVERAGE(AK4:AL4)</f>
        <v>0.4175</v>
      </c>
      <c r="BO4" s="62">
        <f>AVERAGE(AM4:AN4)</f>
        <v>0.35075</v>
      </c>
      <c r="BP4" s="62">
        <f>AVERAGE(AO4:AP4)</f>
        <v>0.36675</v>
      </c>
      <c r="BQ4" s="62">
        <f>AVERAGE(AQ4:AR4)</f>
        <v>0.2485</v>
      </c>
      <c r="BR4" s="62">
        <f>AVERAGE(AS4:AT4)</f>
        <v>0.23179220706462367</v>
      </c>
      <c r="BS4" s="62">
        <f>AVERAGE(AU4:AV4)</f>
        <v>0.28527656542264185</v>
      </c>
      <c r="BT4" s="62">
        <f>AVERAGE(AW4:AX4)</f>
        <v>0.34865</v>
      </c>
      <c r="BU4" s="62">
        <f>AVERAGE(AY4:AZ4)</f>
        <v>0.23675</v>
      </c>
      <c r="BV4" s="62">
        <f>AVERAGE(BA4:BB4)</f>
        <v>0.33716397849462365</v>
      </c>
      <c r="BW4" s="54"/>
      <c r="BX4" s="54"/>
      <c r="BY4" s="54"/>
      <c r="BZ4" s="54"/>
      <c r="CA4" s="54"/>
      <c r="CB4" s="54"/>
      <c r="CC4" s="54"/>
      <c r="CD4" s="44"/>
      <c r="CE4" s="54">
        <v>2084</v>
      </c>
      <c r="CF4" s="54">
        <v>2057</v>
      </c>
      <c r="CG4" s="54">
        <v>2245</v>
      </c>
      <c r="CH4" s="54">
        <v>2465</v>
      </c>
      <c r="CI4" s="54">
        <v>2997</v>
      </c>
      <c r="CJ4" s="54">
        <v>2912</v>
      </c>
      <c r="CK4" s="54">
        <f>2797+104</f>
        <v>2901</v>
      </c>
      <c r="CL4" s="54">
        <f>2779+75</f>
        <v>2854</v>
      </c>
      <c r="CM4" s="54">
        <f>3267+73</f>
        <v>3340</v>
      </c>
      <c r="CN4" s="54">
        <f>3321+81</f>
        <v>3402</v>
      </c>
      <c r="CO4" s="54">
        <f>3506+86</f>
        <v>3592</v>
      </c>
      <c r="CP4" s="54">
        <v>3712</v>
      </c>
      <c r="CQ4" s="54">
        <v>3882</v>
      </c>
      <c r="CR4" s="55"/>
      <c r="CS4" s="55"/>
      <c r="CT4" s="55"/>
      <c r="CU4" s="55"/>
      <c r="CV4" s="55"/>
      <c r="CW4" s="93">
        <v>0.77</v>
      </c>
      <c r="CX4" s="93">
        <v>0.72</v>
      </c>
      <c r="CY4" s="93">
        <v>0.68</v>
      </c>
      <c r="CZ4" s="93">
        <v>0.65</v>
      </c>
      <c r="DA4" s="93">
        <v>0.39</v>
      </c>
      <c r="DB4" s="55">
        <v>0.72</v>
      </c>
      <c r="DC4" s="55">
        <v>0.68</v>
      </c>
      <c r="DD4" s="55">
        <v>0.39</v>
      </c>
      <c r="DE4" s="55">
        <v>0.72</v>
      </c>
      <c r="DF4" s="55">
        <v>0.78</v>
      </c>
      <c r="DG4" s="55">
        <v>0.73</v>
      </c>
      <c r="DH4" s="55">
        <v>0.76</v>
      </c>
      <c r="DI4" s="55">
        <v>0.71</v>
      </c>
      <c r="DJ4" s="55">
        <v>0.53</v>
      </c>
      <c r="DK4" s="55">
        <v>0.37</v>
      </c>
      <c r="DL4" s="55">
        <v>0.63</v>
      </c>
      <c r="DM4" s="55">
        <v>0.31</v>
      </c>
      <c r="DN4" s="55">
        <v>0.69</v>
      </c>
      <c r="DO4" s="55">
        <v>0.5533980582524272</v>
      </c>
      <c r="DP4" s="55">
        <v>0.7522441651705566</v>
      </c>
      <c r="DQ4" s="55">
        <v>0.68</v>
      </c>
      <c r="DR4" s="55">
        <v>0.5906976744186047</v>
      </c>
      <c r="DS4" s="55">
        <v>0.38</v>
      </c>
      <c r="DT4" s="55">
        <v>0.74</v>
      </c>
      <c r="DU4" s="55">
        <v>0.4</v>
      </c>
      <c r="DV4" s="55">
        <v>0.8</v>
      </c>
      <c r="DW4" s="55">
        <v>0.5930232558139535</v>
      </c>
      <c r="DX4" s="55">
        <v>0.86</v>
      </c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58" customFormat="1" ht="12.75">
      <c r="A5" s="47" t="s">
        <v>269</v>
      </c>
      <c r="B5" s="9" t="s">
        <v>430</v>
      </c>
      <c r="C5" s="39" t="s">
        <v>24</v>
      </c>
      <c r="D5" s="39" t="s">
        <v>283</v>
      </c>
      <c r="E5" s="39" t="s">
        <v>271</v>
      </c>
      <c r="F5" s="9" t="s">
        <v>25</v>
      </c>
      <c r="G5" s="9" t="s">
        <v>323</v>
      </c>
      <c r="H5" s="9" t="s">
        <v>61</v>
      </c>
      <c r="I5" s="9" t="s">
        <v>162</v>
      </c>
      <c r="J5" s="9" t="s">
        <v>174</v>
      </c>
      <c r="K5" s="61"/>
      <c r="L5" s="75"/>
      <c r="M5" s="62"/>
      <c r="N5" s="62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149">
        <v>0.733</v>
      </c>
      <c r="BB5" s="66"/>
      <c r="BC5" s="50"/>
      <c r="BD5" s="50"/>
      <c r="BE5" s="50"/>
      <c r="BF5" s="50"/>
      <c r="BG5" s="54"/>
      <c r="BH5" s="54"/>
      <c r="BI5" s="54"/>
      <c r="BJ5" s="54"/>
      <c r="BK5" s="54"/>
      <c r="BL5" s="54"/>
      <c r="BM5" s="54"/>
      <c r="BN5" s="54"/>
      <c r="BO5" s="54"/>
      <c r="BP5" s="62"/>
      <c r="BQ5" s="62"/>
      <c r="BR5" s="62"/>
      <c r="BS5" s="62"/>
      <c r="BT5" s="62"/>
      <c r="BU5" s="62"/>
      <c r="BV5" s="62">
        <f>BA5</f>
        <v>0.733</v>
      </c>
      <c r="BW5" s="78"/>
      <c r="BX5" s="78"/>
      <c r="BY5" s="78"/>
      <c r="BZ5" s="78"/>
      <c r="CA5" s="78"/>
      <c r="CB5" s="78"/>
      <c r="CC5" s="78"/>
      <c r="CD5" s="78"/>
      <c r="CE5" s="78"/>
      <c r="CF5" s="54"/>
      <c r="CG5" s="54"/>
      <c r="CH5" s="54"/>
      <c r="CI5" s="54"/>
      <c r="CJ5" s="54"/>
      <c r="CK5" s="54"/>
      <c r="CL5" s="54"/>
      <c r="CM5" s="54"/>
      <c r="CN5" s="54">
        <f>119+0</f>
        <v>119</v>
      </c>
      <c r="CO5" s="54">
        <v>138</v>
      </c>
      <c r="CP5" s="54">
        <v>162</v>
      </c>
      <c r="CQ5" s="54">
        <v>151</v>
      </c>
      <c r="CR5" s="55"/>
      <c r="CS5" s="55"/>
      <c r="CT5" s="55"/>
      <c r="CU5" s="55"/>
      <c r="CV5" s="55"/>
      <c r="CW5" s="64"/>
      <c r="CX5" s="64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>
        <v>0.77</v>
      </c>
      <c r="DU5" s="66"/>
      <c r="DV5" s="55">
        <v>0.93</v>
      </c>
      <c r="DW5" s="66"/>
      <c r="DX5" s="31">
        <v>0.83</v>
      </c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47"/>
      <c r="EL5" s="47"/>
      <c r="EM5" s="120"/>
      <c r="EN5" s="12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58" customFormat="1" ht="12.75">
      <c r="A6" s="10" t="s">
        <v>423</v>
      </c>
      <c r="B6" s="10" t="s">
        <v>422</v>
      </c>
      <c r="C6" s="39" t="s">
        <v>24</v>
      </c>
      <c r="D6" s="39"/>
      <c r="E6" s="39"/>
      <c r="F6" s="9" t="s">
        <v>25</v>
      </c>
      <c r="G6" s="9" t="s">
        <v>323</v>
      </c>
      <c r="H6" s="9" t="s">
        <v>61</v>
      </c>
      <c r="I6" s="9" t="s">
        <v>162</v>
      </c>
      <c r="J6" s="9" t="s">
        <v>174</v>
      </c>
      <c r="K6" s="61"/>
      <c r="L6" s="75"/>
      <c r="M6" s="62"/>
      <c r="N6" s="62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7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50"/>
      <c r="BD6" s="50"/>
      <c r="BE6" s="50"/>
      <c r="BF6" s="50"/>
      <c r="BG6" s="54"/>
      <c r="BH6" s="54"/>
      <c r="BI6" s="54"/>
      <c r="BJ6" s="54"/>
      <c r="BK6" s="54"/>
      <c r="BL6" s="54"/>
      <c r="BM6" s="54"/>
      <c r="BN6" s="54"/>
      <c r="BO6" s="54"/>
      <c r="BP6" s="62"/>
      <c r="BQ6" s="62"/>
      <c r="BR6" s="62"/>
      <c r="BS6" s="62"/>
      <c r="BT6" s="62"/>
      <c r="BU6" s="62"/>
      <c r="BV6" s="62"/>
      <c r="BW6" s="78"/>
      <c r="BX6" s="78"/>
      <c r="BY6" s="78"/>
      <c r="BZ6" s="78"/>
      <c r="CA6" s="78"/>
      <c r="CB6" s="78"/>
      <c r="CC6" s="78"/>
      <c r="CD6" s="78"/>
      <c r="CE6" s="78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>
        <v>296</v>
      </c>
      <c r="CR6" s="55"/>
      <c r="CS6" s="55"/>
      <c r="CT6" s="55"/>
      <c r="CU6" s="55"/>
      <c r="CV6" s="55"/>
      <c r="CW6" s="64"/>
      <c r="CX6" s="64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47"/>
      <c r="EL6" s="47"/>
      <c r="EM6" s="120"/>
      <c r="EN6" s="12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58" customFormat="1" ht="12.75">
      <c r="A7" s="47" t="s">
        <v>26</v>
      </c>
      <c r="B7" s="9" t="s">
        <v>199</v>
      </c>
      <c r="C7" s="39" t="s">
        <v>24</v>
      </c>
      <c r="D7" s="39" t="s">
        <v>291</v>
      </c>
      <c r="E7" s="39" t="s">
        <v>248</v>
      </c>
      <c r="F7" s="9" t="s">
        <v>25</v>
      </c>
      <c r="G7" s="9" t="s">
        <v>323</v>
      </c>
      <c r="H7" s="9" t="s">
        <v>61</v>
      </c>
      <c r="I7" s="9" t="s">
        <v>162</v>
      </c>
      <c r="J7" s="9" t="s">
        <v>174</v>
      </c>
      <c r="K7" s="79"/>
      <c r="L7" s="59"/>
      <c r="M7" s="60"/>
      <c r="N7" s="60"/>
      <c r="O7" s="62">
        <v>0.3388</v>
      </c>
      <c r="P7" s="62">
        <v>0.1184</v>
      </c>
      <c r="Q7" s="62">
        <v>0.317</v>
      </c>
      <c r="R7" s="62">
        <v>0.1927</v>
      </c>
      <c r="S7" s="62">
        <v>0.3312</v>
      </c>
      <c r="T7" s="62">
        <v>0.1923</v>
      </c>
      <c r="U7" s="62">
        <v>0.4292</v>
      </c>
      <c r="V7" s="62">
        <v>0.1271</v>
      </c>
      <c r="W7" s="62">
        <v>0.4321</v>
      </c>
      <c r="X7" s="62">
        <v>0.2109</v>
      </c>
      <c r="Y7" s="62">
        <v>0.4852</v>
      </c>
      <c r="Z7" s="62">
        <v>0.3191</v>
      </c>
      <c r="AA7" s="62">
        <v>0.4774</v>
      </c>
      <c r="AB7" s="62">
        <v>0.6071</v>
      </c>
      <c r="AC7" s="62">
        <v>0.6684</v>
      </c>
      <c r="AD7" s="62">
        <v>0.3038</v>
      </c>
      <c r="AE7" s="62">
        <v>0.7075</v>
      </c>
      <c r="AF7" s="62">
        <v>0.0984</v>
      </c>
      <c r="AG7" s="62">
        <v>0.6116</v>
      </c>
      <c r="AH7" s="62">
        <v>0.4375</v>
      </c>
      <c r="AI7" s="62">
        <v>0.596</v>
      </c>
      <c r="AJ7" s="62">
        <v>0.3012</v>
      </c>
      <c r="AK7" s="80">
        <v>0.6206</v>
      </c>
      <c r="AL7" s="80">
        <v>0.3765</v>
      </c>
      <c r="AM7" s="80">
        <v>0.561</v>
      </c>
      <c r="AN7" s="80">
        <v>0.33</v>
      </c>
      <c r="AO7" s="80">
        <v>0.5612</v>
      </c>
      <c r="AP7" s="81">
        <v>0.1678</v>
      </c>
      <c r="AQ7" s="81">
        <v>0.549</v>
      </c>
      <c r="AR7" s="81">
        <v>0.1692</v>
      </c>
      <c r="AS7" s="81">
        <v>0.4616564417177914</v>
      </c>
      <c r="AT7" s="81">
        <v>0.17796610169491525</v>
      </c>
      <c r="AU7" s="81">
        <v>0.37353433835845895</v>
      </c>
      <c r="AV7" s="81">
        <v>0.06666666666666667</v>
      </c>
      <c r="AW7" s="81">
        <v>0.3386</v>
      </c>
      <c r="AX7" s="81">
        <v>0.0426</v>
      </c>
      <c r="AY7" s="81">
        <v>0.3055</v>
      </c>
      <c r="AZ7" s="81">
        <v>0.0511</v>
      </c>
      <c r="BA7" s="81">
        <v>0.43950995405819293</v>
      </c>
      <c r="BB7" s="81">
        <v>0.1812</v>
      </c>
      <c r="BC7" s="60">
        <f>AVERAGE(O7:P7)</f>
        <v>0.2286</v>
      </c>
      <c r="BD7" s="60">
        <f>AVERAGE(Q7:R7)</f>
        <v>0.25485</v>
      </c>
      <c r="BE7" s="60">
        <f>AVERAGE(S7:T7)</f>
        <v>0.26175</v>
      </c>
      <c r="BF7" s="60">
        <f>AVERAGE(U7:V7)</f>
        <v>0.27815</v>
      </c>
      <c r="BG7" s="62">
        <f>AVERAGE(W7:X7)</f>
        <v>0.3215</v>
      </c>
      <c r="BH7" s="62">
        <f>(Z7+Y7)/2</f>
        <v>0.40215</v>
      </c>
      <c r="BI7" s="62">
        <f>AVERAGE(AA7:AB7)</f>
        <v>0.54225</v>
      </c>
      <c r="BJ7" s="62">
        <f>AVERAGE(AC7:AD7)</f>
        <v>0.4861</v>
      </c>
      <c r="BK7" s="62">
        <f>AVERAGE(AE7:AF7)</f>
        <v>0.40295000000000003</v>
      </c>
      <c r="BL7" s="62">
        <f>AVERAGE(AG7:AH7)</f>
        <v>0.5245500000000001</v>
      </c>
      <c r="BM7" s="62">
        <f>AVERAGE(AI7:AJ7)</f>
        <v>0.4486</v>
      </c>
      <c r="BN7" s="62">
        <f>AVERAGE(AK7:AL7)</f>
        <v>0.49855000000000005</v>
      </c>
      <c r="BO7" s="62">
        <f>AVERAGE(AM7:AN7)</f>
        <v>0.4455</v>
      </c>
      <c r="BP7" s="62">
        <f>AVERAGE(AO7:AP7)</f>
        <v>0.36450000000000005</v>
      </c>
      <c r="BQ7" s="62">
        <f>AVERAGE(AQ7:AR7)</f>
        <v>0.35910000000000003</v>
      </c>
      <c r="BR7" s="62">
        <f>AVERAGE(AS7:AT7)</f>
        <v>0.3198112717063533</v>
      </c>
      <c r="BS7" s="62">
        <f>AVERAGE(AU7:AV7)</f>
        <v>0.2201005025125628</v>
      </c>
      <c r="BT7" s="62">
        <f>AVERAGE(AW7:AX7)</f>
        <v>0.1906</v>
      </c>
      <c r="BU7" s="62">
        <f aca="true" t="shared" si="0" ref="BU7:BU14">AVERAGE(AY7:AZ7)</f>
        <v>0.1783</v>
      </c>
      <c r="BV7" s="62">
        <f aca="true" t="shared" si="1" ref="BV7:BV20">AVERAGE(BA7:BB7)</f>
        <v>0.3103549770290965</v>
      </c>
      <c r="BW7" s="54"/>
      <c r="BX7" s="54"/>
      <c r="BY7" s="54"/>
      <c r="BZ7" s="54"/>
      <c r="CA7" s="54"/>
      <c r="CB7" s="54"/>
      <c r="CC7" s="54"/>
      <c r="CD7" s="44"/>
      <c r="CE7" s="54">
        <v>2184</v>
      </c>
      <c r="CF7" s="54">
        <v>2173</v>
      </c>
      <c r="CG7" s="54">
        <v>2186</v>
      </c>
      <c r="CH7" s="54">
        <v>2158</v>
      </c>
      <c r="CI7" s="54">
        <v>2074</v>
      </c>
      <c r="CJ7" s="54">
        <v>2042</v>
      </c>
      <c r="CK7" s="54">
        <f>1886+98</f>
        <v>1984</v>
      </c>
      <c r="CL7" s="54">
        <f>1864+73</f>
        <v>1937</v>
      </c>
      <c r="CM7" s="54">
        <f>1712+139</f>
        <v>1851</v>
      </c>
      <c r="CN7" s="54">
        <f>1684+141</f>
        <v>1825</v>
      </c>
      <c r="CO7" s="54">
        <f>1812+62</f>
        <v>1874</v>
      </c>
      <c r="CP7" s="54">
        <v>1965</v>
      </c>
      <c r="CQ7" s="54">
        <v>2084</v>
      </c>
      <c r="CR7" s="55"/>
      <c r="CS7" s="55"/>
      <c r="CT7" s="55"/>
      <c r="CU7" s="55"/>
      <c r="CV7" s="55"/>
      <c r="CW7" s="64">
        <v>0.36</v>
      </c>
      <c r="CX7" s="64">
        <v>0.9</v>
      </c>
      <c r="CY7" s="55">
        <v>0.8</v>
      </c>
      <c r="CZ7" s="55">
        <v>0.83</v>
      </c>
      <c r="DA7" s="55">
        <v>0.73</v>
      </c>
      <c r="DB7" s="55">
        <v>0.85</v>
      </c>
      <c r="DC7" s="55">
        <v>0.73</v>
      </c>
      <c r="DD7" s="55">
        <v>0.85</v>
      </c>
      <c r="DE7" s="55">
        <v>0.66</v>
      </c>
      <c r="DF7" s="55">
        <v>0.82</v>
      </c>
      <c r="DG7" s="55">
        <v>0.98</v>
      </c>
      <c r="DH7" s="55">
        <v>0.79</v>
      </c>
      <c r="DI7" s="55">
        <v>0.64</v>
      </c>
      <c r="DJ7" s="55">
        <v>0.78</v>
      </c>
      <c r="DK7" s="55">
        <v>0.65</v>
      </c>
      <c r="DL7" s="55">
        <v>0.72</v>
      </c>
      <c r="DM7" s="55">
        <v>0.64</v>
      </c>
      <c r="DN7" s="55">
        <v>0.72</v>
      </c>
      <c r="DO7" s="55">
        <v>0.4380952380952381</v>
      </c>
      <c r="DP7" s="55">
        <v>0.6367583212735166</v>
      </c>
      <c r="DQ7" s="55">
        <v>0.45714285714285713</v>
      </c>
      <c r="DR7" s="55">
        <v>0.5699088145896657</v>
      </c>
      <c r="DS7" s="55">
        <v>0.42</v>
      </c>
      <c r="DT7" s="55">
        <v>0.67</v>
      </c>
      <c r="DU7" s="55">
        <v>0.54</v>
      </c>
      <c r="DV7" s="55">
        <v>0.73</v>
      </c>
      <c r="DW7" s="55">
        <v>0.8387096774193549</v>
      </c>
      <c r="DX7" s="55">
        <v>0.88</v>
      </c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12.75">
      <c r="A8" s="47" t="s">
        <v>26</v>
      </c>
      <c r="B8" s="9" t="s">
        <v>197</v>
      </c>
      <c r="C8" s="39" t="s">
        <v>24</v>
      </c>
      <c r="D8" s="39" t="s">
        <v>290</v>
      </c>
      <c r="E8" s="39" t="s">
        <v>246</v>
      </c>
      <c r="F8" s="9" t="s">
        <v>25</v>
      </c>
      <c r="G8" s="9" t="s">
        <v>323</v>
      </c>
      <c r="H8" s="9" t="s">
        <v>61</v>
      </c>
      <c r="I8" s="9" t="s">
        <v>162</v>
      </c>
      <c r="J8" s="9" t="s">
        <v>174</v>
      </c>
      <c r="K8" s="79"/>
      <c r="L8" s="59"/>
      <c r="M8" s="60"/>
      <c r="N8" s="60"/>
      <c r="O8" s="62">
        <v>0.3871</v>
      </c>
      <c r="P8" s="62">
        <v>0.141</v>
      </c>
      <c r="Q8" s="62">
        <v>0.5361</v>
      </c>
      <c r="R8" s="62">
        <v>0.2245</v>
      </c>
      <c r="S8" s="62">
        <v>0.5195</v>
      </c>
      <c r="T8" s="62">
        <v>0.2778</v>
      </c>
      <c r="U8" s="62">
        <v>0.6432</v>
      </c>
      <c r="V8" s="62">
        <v>0.2991</v>
      </c>
      <c r="W8" s="62">
        <v>0.667</v>
      </c>
      <c r="X8" s="62">
        <v>0.1939</v>
      </c>
      <c r="Y8" s="62">
        <v>0.6293</v>
      </c>
      <c r="Z8" s="62">
        <v>0.3178</v>
      </c>
      <c r="AA8" s="62">
        <v>0.7033</v>
      </c>
      <c r="AB8" s="62">
        <v>0.4353</v>
      </c>
      <c r="AC8" s="62">
        <v>0.7877</v>
      </c>
      <c r="AD8" s="62">
        <v>0.3205</v>
      </c>
      <c r="AE8" s="62">
        <v>0.4668</v>
      </c>
      <c r="AF8" s="62">
        <v>0.2179</v>
      </c>
      <c r="AG8" s="62">
        <v>0.6374</v>
      </c>
      <c r="AH8" s="62">
        <v>0.1705</v>
      </c>
      <c r="AI8" s="62">
        <v>0.6968</v>
      </c>
      <c r="AJ8" s="62">
        <v>0.2377</v>
      </c>
      <c r="AK8" s="80">
        <v>0.6774</v>
      </c>
      <c r="AL8" s="80">
        <v>0.3333</v>
      </c>
      <c r="AM8" s="80">
        <v>0.6899</v>
      </c>
      <c r="AN8" s="80">
        <v>0.2131</v>
      </c>
      <c r="AO8" s="80">
        <v>0.6461</v>
      </c>
      <c r="AP8" s="81">
        <v>0.1732</v>
      </c>
      <c r="AQ8" s="81">
        <v>0.5887</v>
      </c>
      <c r="AR8" s="81">
        <v>0.2049</v>
      </c>
      <c r="AS8" s="81">
        <v>0.6587412587412588</v>
      </c>
      <c r="AT8" s="81">
        <v>0.17587939698492464</v>
      </c>
      <c r="AU8" s="81">
        <v>0.37574257425742574</v>
      </c>
      <c r="AV8" s="81">
        <v>0.16030534351145037</v>
      </c>
      <c r="AW8" s="81">
        <v>0.4105</v>
      </c>
      <c r="AX8" s="81">
        <v>0.1132</v>
      </c>
      <c r="AY8" s="81">
        <v>0.3872</v>
      </c>
      <c r="AZ8" s="81">
        <v>0.1923</v>
      </c>
      <c r="BA8" s="81">
        <v>0.42333088774761557</v>
      </c>
      <c r="BB8" s="81">
        <v>0.2124</v>
      </c>
      <c r="BC8" s="60">
        <f>AVERAGE(O8:P8)</f>
        <v>0.26405</v>
      </c>
      <c r="BD8" s="60">
        <f>AVERAGE(Q8:R8)</f>
        <v>0.3803</v>
      </c>
      <c r="BE8" s="60">
        <f>AVERAGE(S8:T8)</f>
        <v>0.39864999999999995</v>
      </c>
      <c r="BF8" s="60">
        <f>AVERAGE(U8:V8)</f>
        <v>0.47114999999999996</v>
      </c>
      <c r="BG8" s="62">
        <f>AVERAGE(W8:X8)</f>
        <v>0.43045</v>
      </c>
      <c r="BH8" s="62">
        <f>(Z8+Y8)/2</f>
        <v>0.47355</v>
      </c>
      <c r="BI8" s="62">
        <f>AVERAGE(AA8:AB8)</f>
        <v>0.5693</v>
      </c>
      <c r="BJ8" s="62">
        <f>AVERAGE(AC8:AD8)</f>
        <v>0.5541</v>
      </c>
      <c r="BK8" s="62">
        <f>AVERAGE(AE8:AF8)</f>
        <v>0.34235</v>
      </c>
      <c r="BL8" s="62">
        <f>AVERAGE(AG8:AH8)</f>
        <v>0.40395</v>
      </c>
      <c r="BM8" s="62">
        <f>AVERAGE(AI8:AJ8)</f>
        <v>0.46725</v>
      </c>
      <c r="BN8" s="62">
        <f>AVERAGE(AK8:AL8)</f>
        <v>0.50535</v>
      </c>
      <c r="BO8" s="62">
        <f>AVERAGE(AM8:AN8)</f>
        <v>0.4515</v>
      </c>
      <c r="BP8" s="62">
        <f>AVERAGE(AO8:AP8)</f>
        <v>0.40965</v>
      </c>
      <c r="BQ8" s="62">
        <f>AVERAGE(AQ8:AR8)</f>
        <v>0.3968</v>
      </c>
      <c r="BR8" s="62">
        <f>AVERAGE(AS8:AT8)</f>
        <v>0.4173103278630917</v>
      </c>
      <c r="BS8" s="62">
        <f>AVERAGE(AU8:AV8)</f>
        <v>0.2680239588844381</v>
      </c>
      <c r="BT8" s="62">
        <f>AVERAGE(AW8:AX8)</f>
        <v>0.26184999999999997</v>
      </c>
      <c r="BU8" s="62">
        <f t="shared" si="0"/>
        <v>0.28975</v>
      </c>
      <c r="BV8" s="62">
        <f t="shared" si="1"/>
        <v>0.3178654438738078</v>
      </c>
      <c r="BW8" s="54"/>
      <c r="BX8" s="54"/>
      <c r="BY8" s="54"/>
      <c r="BZ8" s="54"/>
      <c r="CA8" s="54"/>
      <c r="CB8" s="54"/>
      <c r="CC8" s="54"/>
      <c r="CD8" s="44"/>
      <c r="CE8" s="54">
        <v>2069</v>
      </c>
      <c r="CF8" s="54">
        <v>2088</v>
      </c>
      <c r="CG8" s="54">
        <v>2238</v>
      </c>
      <c r="CH8" s="54">
        <v>2363</v>
      </c>
      <c r="CI8" s="54">
        <v>2416</v>
      </c>
      <c r="CJ8" s="54">
        <v>2376</v>
      </c>
      <c r="CK8" s="121">
        <f>3659+131</f>
        <v>3790</v>
      </c>
      <c r="CL8" s="54">
        <f>4785+109</f>
        <v>4894</v>
      </c>
      <c r="CM8" s="54">
        <f>6045+104</f>
        <v>6149</v>
      </c>
      <c r="CN8" s="54">
        <f>6500+114</f>
        <v>6614</v>
      </c>
      <c r="CO8" s="54">
        <f>6421+183</f>
        <v>6604</v>
      </c>
      <c r="CP8" s="54">
        <v>6263</v>
      </c>
      <c r="CQ8" s="54">
        <v>6237</v>
      </c>
      <c r="CR8" s="55"/>
      <c r="CS8" s="55"/>
      <c r="CT8" s="55"/>
      <c r="CU8" s="55"/>
      <c r="CV8" s="55"/>
      <c r="CW8" s="64">
        <v>0.6</v>
      </c>
      <c r="CX8" s="64">
        <v>0.86</v>
      </c>
      <c r="CY8" s="55">
        <v>0.67</v>
      </c>
      <c r="CZ8" s="55">
        <v>0.57</v>
      </c>
      <c r="DA8" s="55">
        <v>0.86</v>
      </c>
      <c r="DB8" s="55">
        <v>0.91</v>
      </c>
      <c r="DC8" s="55">
        <v>0.57</v>
      </c>
      <c r="DD8" s="55">
        <v>0.86</v>
      </c>
      <c r="DE8" s="55">
        <v>0.69</v>
      </c>
      <c r="DF8" s="55">
        <v>0.88</v>
      </c>
      <c r="DG8" s="55">
        <v>0.6</v>
      </c>
      <c r="DH8" s="55">
        <v>0.86</v>
      </c>
      <c r="DI8" s="55">
        <v>0.49</v>
      </c>
      <c r="DJ8" s="55">
        <v>0.78</v>
      </c>
      <c r="DK8" s="55">
        <v>0.55</v>
      </c>
      <c r="DL8" s="55">
        <v>0.84</v>
      </c>
      <c r="DM8" s="55">
        <v>0.67</v>
      </c>
      <c r="DN8" s="55">
        <v>0.68</v>
      </c>
      <c r="DO8" s="55">
        <v>0.4732824427480916</v>
      </c>
      <c r="DP8" s="55">
        <v>0.6983122362869199</v>
      </c>
      <c r="DQ8" s="55">
        <v>0.5</v>
      </c>
      <c r="DR8" s="55">
        <v>0.6243252968693774</v>
      </c>
      <c r="DS8" s="55">
        <v>0.55</v>
      </c>
      <c r="DT8" s="55">
        <v>0.65</v>
      </c>
      <c r="DU8" s="55">
        <v>0.56</v>
      </c>
      <c r="DV8" s="55">
        <v>0.76</v>
      </c>
      <c r="DW8" s="55">
        <v>0.5838150289017341</v>
      </c>
      <c r="DX8" s="55">
        <v>0.85</v>
      </c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12.75">
      <c r="A9" s="47" t="s">
        <v>30</v>
      </c>
      <c r="B9" s="9" t="s">
        <v>203</v>
      </c>
      <c r="C9" s="39" t="s">
        <v>24</v>
      </c>
      <c r="D9" s="39" t="s">
        <v>252</v>
      </c>
      <c r="E9" s="39" t="s">
        <v>252</v>
      </c>
      <c r="F9" s="9" t="s">
        <v>25</v>
      </c>
      <c r="G9" s="9" t="s">
        <v>323</v>
      </c>
      <c r="H9" s="9" t="s">
        <v>61</v>
      </c>
      <c r="I9" s="9" t="s">
        <v>162</v>
      </c>
      <c r="J9" s="9" t="s">
        <v>174</v>
      </c>
      <c r="K9" s="79"/>
      <c r="L9" s="59"/>
      <c r="M9" s="60"/>
      <c r="N9" s="60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81">
        <v>0.6824324324324325</v>
      </c>
      <c r="AV9" s="81">
        <v>0.32</v>
      </c>
      <c r="AW9" s="81">
        <v>0.6667</v>
      </c>
      <c r="AX9" s="81">
        <v>0.3929</v>
      </c>
      <c r="AY9" s="81">
        <v>0.3634</v>
      </c>
      <c r="AZ9" s="81">
        <v>0.5455</v>
      </c>
      <c r="BA9" s="81">
        <v>0.5656836461126006</v>
      </c>
      <c r="BB9" s="81">
        <v>0.3077</v>
      </c>
      <c r="BC9" s="60"/>
      <c r="BD9" s="60"/>
      <c r="BE9" s="60"/>
      <c r="BF9" s="60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>
        <f>AVERAGE(AU9:AV9)</f>
        <v>0.5012162162162163</v>
      </c>
      <c r="BT9" s="62">
        <f>AVERAGE(AW9:AX9)</f>
        <v>0.5298</v>
      </c>
      <c r="BU9" s="62">
        <f t="shared" si="0"/>
        <v>0.45445</v>
      </c>
      <c r="BV9" s="62">
        <f t="shared" si="1"/>
        <v>0.4366918230563003</v>
      </c>
      <c r="BW9" s="54"/>
      <c r="BX9" s="54"/>
      <c r="BY9" s="54"/>
      <c r="BZ9" s="54"/>
      <c r="CA9" s="54"/>
      <c r="CB9" s="54"/>
      <c r="CC9" s="54"/>
      <c r="CD9" s="44"/>
      <c r="CE9" s="54"/>
      <c r="CF9" s="54"/>
      <c r="CG9" s="54"/>
      <c r="CH9" s="54"/>
      <c r="CI9" s="54"/>
      <c r="CJ9" s="54"/>
      <c r="CK9" s="54">
        <f>161+25</f>
        <v>186</v>
      </c>
      <c r="CL9" s="54">
        <f>357+28</f>
        <v>385</v>
      </c>
      <c r="CM9" s="54">
        <f>540+34</f>
        <v>574</v>
      </c>
      <c r="CN9" s="54">
        <f>804+27</f>
        <v>831</v>
      </c>
      <c r="CO9" s="54">
        <f>952+24</f>
        <v>976</v>
      </c>
      <c r="CP9" s="54">
        <v>1080</v>
      </c>
      <c r="CQ9" s="54">
        <v>1163</v>
      </c>
      <c r="CR9" s="55"/>
      <c r="CS9" s="55"/>
      <c r="CT9" s="55"/>
      <c r="CU9" s="55"/>
      <c r="CV9" s="55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55">
        <v>0.9</v>
      </c>
      <c r="DO9" s="55">
        <v>0.4</v>
      </c>
      <c r="DP9" s="55">
        <v>0.8</v>
      </c>
      <c r="DQ9" s="55">
        <v>0.8928571428571429</v>
      </c>
      <c r="DR9" s="55">
        <v>0.82</v>
      </c>
      <c r="DS9" s="55">
        <v>0.85</v>
      </c>
      <c r="DT9" s="55">
        <v>0.92</v>
      </c>
      <c r="DU9" s="55">
        <v>0.58</v>
      </c>
      <c r="DV9" s="55">
        <v>0.64</v>
      </c>
      <c r="DW9" s="55">
        <v>0.4</v>
      </c>
      <c r="DX9" s="55">
        <v>0.94</v>
      </c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47"/>
      <c r="FF9" s="47"/>
      <c r="FG9" s="50"/>
      <c r="FH9" s="50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12.75">
      <c r="A10" s="47" t="s">
        <v>30</v>
      </c>
      <c r="B10" s="9" t="s">
        <v>203</v>
      </c>
      <c r="C10" s="39" t="s">
        <v>35</v>
      </c>
      <c r="D10" s="39">
        <v>5021500028</v>
      </c>
      <c r="E10" s="39">
        <v>521300057</v>
      </c>
      <c r="F10" s="26" t="s">
        <v>307</v>
      </c>
      <c r="G10" s="10" t="s">
        <v>318</v>
      </c>
      <c r="H10" s="10" t="s">
        <v>66</v>
      </c>
      <c r="I10" s="10" t="s">
        <v>167</v>
      </c>
      <c r="J10" s="10" t="s">
        <v>173</v>
      </c>
      <c r="K10" s="61">
        <v>1</v>
      </c>
      <c r="L10" s="75" t="s">
        <v>22</v>
      </c>
      <c r="M10" s="62" t="s">
        <v>21</v>
      </c>
      <c r="N10" s="62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62">
        <v>0.40963855421686746</v>
      </c>
      <c r="AE10" s="62">
        <v>0.6512</v>
      </c>
      <c r="AF10" s="62">
        <v>0.4744</v>
      </c>
      <c r="AG10" s="62">
        <v>0.6739</v>
      </c>
      <c r="AH10" s="62">
        <v>0.2771</v>
      </c>
      <c r="AI10" s="62">
        <v>0.1667</v>
      </c>
      <c r="AJ10" s="62">
        <v>0.4459</v>
      </c>
      <c r="AK10" s="80">
        <v>0.4167</v>
      </c>
      <c r="AL10" s="62">
        <v>0.5142857142857142</v>
      </c>
      <c r="AM10" s="62">
        <v>0.41025641025641024</v>
      </c>
      <c r="AN10" s="62">
        <v>0.6376811594202898</v>
      </c>
      <c r="AO10" s="62">
        <v>0.6153846153846154</v>
      </c>
      <c r="AP10" s="81">
        <v>0.4864864864864865</v>
      </c>
      <c r="AQ10" s="81">
        <v>0.4074074074074074</v>
      </c>
      <c r="AR10" s="81">
        <v>0.5797101449275363</v>
      </c>
      <c r="AS10" s="81">
        <v>0.5128205128205128</v>
      </c>
      <c r="AT10" s="81">
        <v>0.5428571428571428</v>
      </c>
      <c r="AU10" s="81">
        <v>0.375</v>
      </c>
      <c r="AV10" s="81">
        <v>0.45454545454545453</v>
      </c>
      <c r="AW10" s="81">
        <v>0.4462</v>
      </c>
      <c r="AX10" s="81">
        <v>0.5</v>
      </c>
      <c r="AY10" s="81">
        <v>0.525</v>
      </c>
      <c r="AZ10" s="81">
        <v>0.473</v>
      </c>
      <c r="BA10" s="81">
        <v>0.42424242424242425</v>
      </c>
      <c r="BB10" s="81">
        <v>0.3455</v>
      </c>
      <c r="BC10" s="60"/>
      <c r="BD10" s="60"/>
      <c r="BE10" s="60"/>
      <c r="BF10" s="60"/>
      <c r="BG10" s="62"/>
      <c r="BH10" s="62"/>
      <c r="BI10" s="62"/>
      <c r="BJ10" s="62">
        <f>AVERAGE(AC10:AD10)</f>
        <v>0.40963855421686746</v>
      </c>
      <c r="BK10" s="62">
        <f>AVERAGE(AE10:AF10)</f>
        <v>0.5628</v>
      </c>
      <c r="BL10" s="62">
        <f>AVERAGE(AG10:AH10)</f>
        <v>0.47550000000000003</v>
      </c>
      <c r="BM10" s="62">
        <f>AVERAGE(AI10:AJ10)</f>
        <v>0.3063</v>
      </c>
      <c r="BN10" s="62">
        <f>AVERAGE(AK10:AL10)</f>
        <v>0.46549285714285715</v>
      </c>
      <c r="BO10" s="62">
        <f aca="true" t="shared" si="2" ref="BO10:BT12">AVERAGE(AM10:AN10)</f>
        <v>0.5239687848383501</v>
      </c>
      <c r="BP10" s="62">
        <f t="shared" si="2"/>
        <v>0.6265328874024526</v>
      </c>
      <c r="BQ10" s="62">
        <f t="shared" si="2"/>
        <v>0.5509355509355509</v>
      </c>
      <c r="BR10" s="62">
        <f t="shared" si="2"/>
        <v>0.4469469469469469</v>
      </c>
      <c r="BS10" s="62">
        <f t="shared" si="2"/>
        <v>0.4935587761674718</v>
      </c>
      <c r="BT10" s="62">
        <f t="shared" si="2"/>
        <v>0.5462653288740245</v>
      </c>
      <c r="BU10" s="62">
        <f t="shared" si="0"/>
        <v>0.499</v>
      </c>
      <c r="BV10" s="62">
        <f t="shared" si="1"/>
        <v>0.3848712121212121</v>
      </c>
      <c r="BW10" s="78"/>
      <c r="BX10" s="78"/>
      <c r="BY10" s="78"/>
      <c r="BZ10" s="78"/>
      <c r="CA10" s="54">
        <v>148</v>
      </c>
      <c r="CB10" s="54">
        <v>229</v>
      </c>
      <c r="CC10" s="54">
        <v>330</v>
      </c>
      <c r="CD10" s="44">
        <v>420</v>
      </c>
      <c r="CE10" s="54">
        <v>515</v>
      </c>
      <c r="CF10" s="54">
        <v>521</v>
      </c>
      <c r="CG10" s="54">
        <f>459+81</f>
        <v>540</v>
      </c>
      <c r="CH10" s="54">
        <f>521+78</f>
        <v>599</v>
      </c>
      <c r="CI10" s="54">
        <f>525+79</f>
        <v>604</v>
      </c>
      <c r="CJ10" s="54">
        <f>542+65</f>
        <v>607</v>
      </c>
      <c r="CK10" s="54">
        <f>572+80</f>
        <v>652</v>
      </c>
      <c r="CL10" s="54">
        <f>568+67</f>
        <v>635</v>
      </c>
      <c r="CM10" s="54">
        <f>542+64</f>
        <v>606</v>
      </c>
      <c r="CN10" s="54">
        <f>506+56</f>
        <v>562</v>
      </c>
      <c r="CO10" s="54">
        <f>484+65</f>
        <v>549</v>
      </c>
      <c r="CP10" s="54">
        <v>526</v>
      </c>
      <c r="CQ10" s="54">
        <v>442</v>
      </c>
      <c r="CR10" s="76"/>
      <c r="CS10" s="76"/>
      <c r="CT10" s="76"/>
      <c r="CU10" s="55">
        <v>0.8</v>
      </c>
      <c r="CV10" s="55">
        <v>0.91</v>
      </c>
      <c r="CW10" s="64">
        <v>0.96</v>
      </c>
      <c r="CX10" s="64">
        <v>0.9</v>
      </c>
      <c r="CY10" s="55">
        <v>0.86</v>
      </c>
      <c r="CZ10" s="55">
        <v>0.95</v>
      </c>
      <c r="DA10" s="55">
        <v>0.92</v>
      </c>
      <c r="DB10" s="55">
        <v>0.96</v>
      </c>
      <c r="DC10" s="55">
        <v>0.77</v>
      </c>
      <c r="DD10" s="55">
        <v>0.88</v>
      </c>
      <c r="DE10" s="55">
        <v>0.87</v>
      </c>
      <c r="DF10" s="55">
        <v>0.89</v>
      </c>
      <c r="DG10" s="55">
        <v>0.81</v>
      </c>
      <c r="DH10" s="55">
        <v>0.91</v>
      </c>
      <c r="DI10" s="55">
        <v>0.86</v>
      </c>
      <c r="DJ10" s="55">
        <v>0.79</v>
      </c>
      <c r="DK10" s="55">
        <v>0.8125</v>
      </c>
      <c r="DL10" s="55">
        <v>0.9</v>
      </c>
      <c r="DM10" s="55">
        <v>0.89</v>
      </c>
      <c r="DN10" s="55">
        <v>0.84</v>
      </c>
      <c r="DO10" s="55">
        <v>0.9</v>
      </c>
      <c r="DP10" s="55">
        <v>0.8783783783783784</v>
      </c>
      <c r="DQ10" s="55">
        <v>0.6666666666666666</v>
      </c>
      <c r="DR10" s="55">
        <v>0.8387096774193549</v>
      </c>
      <c r="DS10" s="55">
        <v>0.76</v>
      </c>
      <c r="DT10" s="55">
        <v>0.86</v>
      </c>
      <c r="DU10" s="55">
        <v>0.78</v>
      </c>
      <c r="DV10" s="55">
        <v>0.82</v>
      </c>
      <c r="DW10" s="55">
        <v>0.703125</v>
      </c>
      <c r="DX10" s="55">
        <v>0.9</v>
      </c>
      <c r="DY10" s="122">
        <v>0.5</v>
      </c>
      <c r="DZ10" s="122">
        <v>1</v>
      </c>
      <c r="EA10" s="123">
        <v>0.716</v>
      </c>
      <c r="EB10" s="123">
        <v>0.946</v>
      </c>
      <c r="EC10" s="122">
        <v>0.528</v>
      </c>
      <c r="ED10" s="122">
        <v>0.76</v>
      </c>
      <c r="EE10" s="123">
        <v>0.7</v>
      </c>
      <c r="EF10" s="123">
        <v>0.875</v>
      </c>
      <c r="EG10" s="122">
        <v>0.667</v>
      </c>
      <c r="EH10" s="122">
        <v>0.963</v>
      </c>
      <c r="EI10" s="123">
        <v>0.638</v>
      </c>
      <c r="EJ10" s="123">
        <v>0.815</v>
      </c>
      <c r="EK10" s="122">
        <v>0.564</v>
      </c>
      <c r="EL10" s="122">
        <v>0.786</v>
      </c>
      <c r="EM10" s="123">
        <v>0.703</v>
      </c>
      <c r="EN10" s="123">
        <v>0.852</v>
      </c>
      <c r="EO10" s="122">
        <v>0.531</v>
      </c>
      <c r="EP10" s="122">
        <v>0.878</v>
      </c>
      <c r="EQ10" s="123">
        <v>0.696</v>
      </c>
      <c r="ER10" s="123">
        <v>0.923</v>
      </c>
      <c r="ES10" s="122">
        <v>0.667</v>
      </c>
      <c r="ET10" s="122">
        <v>1</v>
      </c>
      <c r="EU10" s="123">
        <v>0.629</v>
      </c>
      <c r="EV10" s="123">
        <v>1</v>
      </c>
      <c r="EW10" s="122">
        <v>0.538</v>
      </c>
      <c r="EX10" s="122">
        <v>0.915</v>
      </c>
      <c r="EY10" s="123">
        <v>0.636</v>
      </c>
      <c r="EZ10" s="123">
        <v>0.875</v>
      </c>
      <c r="FA10" s="122">
        <v>0.415</v>
      </c>
      <c r="FB10" s="122">
        <v>0.675</v>
      </c>
      <c r="FC10" s="123">
        <v>0.5</v>
      </c>
      <c r="FD10" s="123">
        <v>0.757</v>
      </c>
      <c r="FE10" s="122">
        <v>0.2133</v>
      </c>
      <c r="FF10" s="122">
        <v>0.333</v>
      </c>
      <c r="FG10" s="123">
        <v>0.216</v>
      </c>
      <c r="FH10" s="123">
        <v>0.381</v>
      </c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12.75">
      <c r="A11" s="47" t="s">
        <v>30</v>
      </c>
      <c r="B11" s="9" t="s">
        <v>203</v>
      </c>
      <c r="C11" s="39" t="s">
        <v>14</v>
      </c>
      <c r="D11" s="39">
        <v>5031100007</v>
      </c>
      <c r="E11" s="39">
        <v>531100014</v>
      </c>
      <c r="F11" s="26" t="s">
        <v>332</v>
      </c>
      <c r="G11" s="10" t="s">
        <v>318</v>
      </c>
      <c r="H11" s="10" t="s">
        <v>66</v>
      </c>
      <c r="I11" s="10" t="s">
        <v>165</v>
      </c>
      <c r="J11" s="10" t="s">
        <v>170</v>
      </c>
      <c r="K11" s="61">
        <v>1</v>
      </c>
      <c r="L11" s="75" t="s">
        <v>22</v>
      </c>
      <c r="M11" s="62" t="s">
        <v>21</v>
      </c>
      <c r="N11" s="62"/>
      <c r="O11" s="76"/>
      <c r="P11" s="76"/>
      <c r="Q11" s="76"/>
      <c r="R11" s="76"/>
      <c r="S11" s="76"/>
      <c r="T11" s="76"/>
      <c r="U11" s="82"/>
      <c r="V11" s="60">
        <v>0.6078</v>
      </c>
      <c r="W11" s="60">
        <v>0.4255</v>
      </c>
      <c r="X11" s="62">
        <v>0.43560000000000004</v>
      </c>
      <c r="Y11" s="62">
        <v>0.4222</v>
      </c>
      <c r="Z11" s="62">
        <v>0.3672</v>
      </c>
      <c r="AA11" s="62">
        <v>0.3</v>
      </c>
      <c r="AB11" s="62">
        <v>0.3409</v>
      </c>
      <c r="AC11" s="62">
        <v>0.4255</v>
      </c>
      <c r="AD11" s="62">
        <v>0.3049</v>
      </c>
      <c r="AE11" s="62">
        <v>0.5</v>
      </c>
      <c r="AF11" s="62">
        <v>0.6379</v>
      </c>
      <c r="AG11" s="62">
        <v>0.5135</v>
      </c>
      <c r="AH11" s="62">
        <v>0.4074</v>
      </c>
      <c r="AI11" s="62">
        <v>0.4865</v>
      </c>
      <c r="AJ11" s="62">
        <v>0.5714</v>
      </c>
      <c r="AK11" s="80">
        <v>0.641</v>
      </c>
      <c r="AL11" s="62">
        <v>0.6714</v>
      </c>
      <c r="AM11" s="62">
        <v>0.6047</v>
      </c>
      <c r="AN11" s="62">
        <v>0.6133</v>
      </c>
      <c r="AO11" s="62">
        <v>0.7105263157894737</v>
      </c>
      <c r="AP11" s="81">
        <v>0.6974</v>
      </c>
      <c r="AQ11" s="81">
        <v>0.5918367346938775</v>
      </c>
      <c r="AR11" s="81">
        <v>0.5555555555555556</v>
      </c>
      <c r="AS11" s="81">
        <v>0.5068493150684932</v>
      </c>
      <c r="AT11" s="81">
        <v>0.5194805194805194</v>
      </c>
      <c r="AU11" s="81">
        <v>0.4794520547945205</v>
      </c>
      <c r="AV11" s="81">
        <v>0.49295774647887325</v>
      </c>
      <c r="AW11" s="81">
        <v>0.7174</v>
      </c>
      <c r="AX11" s="81">
        <v>0.4571</v>
      </c>
      <c r="AY11" s="81">
        <v>0.5122</v>
      </c>
      <c r="AZ11" s="81">
        <v>0.4324</v>
      </c>
      <c r="BA11" s="81">
        <v>0.425</v>
      </c>
      <c r="BB11" s="81">
        <v>0.425</v>
      </c>
      <c r="BC11" s="60"/>
      <c r="BD11" s="60"/>
      <c r="BE11" s="60"/>
      <c r="BF11" s="60">
        <f>AVERAGE(U11:V11)</f>
        <v>0.6078</v>
      </c>
      <c r="BG11" s="62">
        <f>AVERAGE(W11:X11)</f>
        <v>0.43055</v>
      </c>
      <c r="BH11" s="62">
        <f>(Z11+Y11)/2</f>
        <v>0.39470000000000005</v>
      </c>
      <c r="BI11" s="62">
        <f>AVERAGE(AA11:AB11)</f>
        <v>0.32045</v>
      </c>
      <c r="BJ11" s="62">
        <f>AVERAGE(AC11:AD11)</f>
        <v>0.36519999999999997</v>
      </c>
      <c r="BK11" s="62">
        <f>AVERAGE(AE11:AF11)</f>
        <v>0.5689500000000001</v>
      </c>
      <c r="BL11" s="62">
        <f>AVERAGE(AG11:AH11)</f>
        <v>0.46044999999999997</v>
      </c>
      <c r="BM11" s="62">
        <f>AVERAGE(AI11:AJ11)</f>
        <v>0.52895</v>
      </c>
      <c r="BN11" s="62">
        <f>AVERAGE(AK11:AL11)</f>
        <v>0.6562</v>
      </c>
      <c r="BO11" s="62">
        <f t="shared" si="2"/>
        <v>0.609</v>
      </c>
      <c r="BP11" s="62">
        <f t="shared" si="2"/>
        <v>0.6619131578947368</v>
      </c>
      <c r="BQ11" s="62">
        <f t="shared" si="2"/>
        <v>0.7039631578947368</v>
      </c>
      <c r="BR11" s="62">
        <f t="shared" si="2"/>
        <v>0.6446183673469388</v>
      </c>
      <c r="BS11" s="62">
        <f t="shared" si="2"/>
        <v>0.5736961451247166</v>
      </c>
      <c r="BT11" s="62">
        <f t="shared" si="2"/>
        <v>0.5312024353120244</v>
      </c>
      <c r="BU11" s="62">
        <f t="shared" si="0"/>
        <v>0.4723</v>
      </c>
      <c r="BV11" s="62">
        <f t="shared" si="1"/>
        <v>0.425</v>
      </c>
      <c r="BW11" s="61">
        <v>98</v>
      </c>
      <c r="BX11" s="54">
        <v>236</v>
      </c>
      <c r="BY11" s="54">
        <v>362</v>
      </c>
      <c r="BZ11" s="54">
        <v>431</v>
      </c>
      <c r="CA11" s="54">
        <v>470</v>
      </c>
      <c r="CB11" s="54">
        <v>419</v>
      </c>
      <c r="CC11" s="54">
        <v>436</v>
      </c>
      <c r="CD11" s="44">
        <v>429</v>
      </c>
      <c r="CE11" s="54">
        <v>443</v>
      </c>
      <c r="CF11" s="54">
        <v>469</v>
      </c>
      <c r="CG11" s="54">
        <f>431+49</f>
        <v>480</v>
      </c>
      <c r="CH11" s="54">
        <f>455+73</f>
        <v>528</v>
      </c>
      <c r="CI11" s="54">
        <f>497+73</f>
        <v>570</v>
      </c>
      <c r="CJ11" s="54">
        <f>511+46</f>
        <v>557</v>
      </c>
      <c r="CK11" s="54">
        <f>502+43</f>
        <v>545</v>
      </c>
      <c r="CL11" s="54">
        <f>489+43</f>
        <v>532</v>
      </c>
      <c r="CM11" s="54">
        <f>454+48</f>
        <v>502</v>
      </c>
      <c r="CN11" s="54">
        <f>404+38</f>
        <v>442</v>
      </c>
      <c r="CO11" s="54">
        <f>374+48</f>
        <v>422</v>
      </c>
      <c r="CP11" s="54">
        <v>408</v>
      </c>
      <c r="CQ11" s="54">
        <v>351</v>
      </c>
      <c r="CR11" s="55">
        <v>0.75</v>
      </c>
      <c r="CS11" s="55">
        <v>0.63</v>
      </c>
      <c r="CT11" s="55">
        <v>0.61</v>
      </c>
      <c r="CU11" s="55">
        <v>0.52</v>
      </c>
      <c r="CV11" s="55">
        <v>0.78</v>
      </c>
      <c r="CW11" s="64">
        <v>0.78</v>
      </c>
      <c r="CX11" s="64">
        <v>0.81</v>
      </c>
      <c r="CY11" s="55">
        <v>0.73</v>
      </c>
      <c r="CZ11" s="55">
        <v>0.83</v>
      </c>
      <c r="DA11" s="55">
        <v>0.97</v>
      </c>
      <c r="DB11" s="55">
        <v>0.86</v>
      </c>
      <c r="DC11" s="55">
        <v>0.88</v>
      </c>
      <c r="DD11" s="55">
        <v>0.87</v>
      </c>
      <c r="DE11" s="55">
        <v>0.87</v>
      </c>
      <c r="DF11" s="55">
        <v>0.84</v>
      </c>
      <c r="DG11" s="55">
        <v>0.9</v>
      </c>
      <c r="DH11" s="55">
        <v>0.9</v>
      </c>
      <c r="DI11" s="55">
        <v>0.81</v>
      </c>
      <c r="DJ11" s="55">
        <v>0.82</v>
      </c>
      <c r="DK11" s="55">
        <v>0.7945205479452054</v>
      </c>
      <c r="DL11" s="55">
        <v>0.8</v>
      </c>
      <c r="DM11" s="55">
        <v>0.87</v>
      </c>
      <c r="DN11" s="55">
        <v>0.83</v>
      </c>
      <c r="DO11" s="55">
        <v>0.7560975609756098</v>
      </c>
      <c r="DP11" s="55">
        <v>0.7567567567567568</v>
      </c>
      <c r="DQ11" s="55">
        <v>0.5</v>
      </c>
      <c r="DR11" s="55">
        <v>0.6615384615384615</v>
      </c>
      <c r="DS11" s="55">
        <v>0.68</v>
      </c>
      <c r="DT11" s="55">
        <v>0.73</v>
      </c>
      <c r="DU11" s="55">
        <v>0.57</v>
      </c>
      <c r="DV11" s="55">
        <v>0.85</v>
      </c>
      <c r="DW11" s="55">
        <v>0.8333333333333334</v>
      </c>
      <c r="DX11" s="55">
        <v>0.92</v>
      </c>
      <c r="DY11" s="122">
        <v>0.541</v>
      </c>
      <c r="DZ11" s="122">
        <v>1</v>
      </c>
      <c r="EA11" s="123">
        <v>0.675</v>
      </c>
      <c r="EB11" s="123">
        <v>0.963</v>
      </c>
      <c r="EC11" s="122">
        <v>0.795</v>
      </c>
      <c r="ED11" s="122">
        <v>1</v>
      </c>
      <c r="EE11" s="123">
        <v>0.643</v>
      </c>
      <c r="EF11" s="123">
        <v>0.918</v>
      </c>
      <c r="EG11" s="122">
        <v>0.744</v>
      </c>
      <c r="EH11" s="122">
        <v>0.941</v>
      </c>
      <c r="EI11" s="123">
        <v>0.72</v>
      </c>
      <c r="EJ11" s="123">
        <v>0.931</v>
      </c>
      <c r="EK11" s="122">
        <v>0.763</v>
      </c>
      <c r="EL11" s="122">
        <v>0.935</v>
      </c>
      <c r="EM11" s="123">
        <v>0.724</v>
      </c>
      <c r="EN11" s="123">
        <v>0.932</v>
      </c>
      <c r="EO11" s="122">
        <v>0.735</v>
      </c>
      <c r="EP11" s="122">
        <v>0.923</v>
      </c>
      <c r="EQ11" s="123">
        <v>0.681</v>
      </c>
      <c r="ER11" s="123">
        <v>0.907</v>
      </c>
      <c r="ES11" s="122">
        <v>0.658</v>
      </c>
      <c r="ET11" s="122">
        <v>0.98</v>
      </c>
      <c r="EU11" s="123">
        <v>0.59</v>
      </c>
      <c r="EV11" s="123">
        <v>0.885</v>
      </c>
      <c r="EW11" s="122">
        <v>0.685</v>
      </c>
      <c r="EX11" s="122">
        <v>0.98</v>
      </c>
      <c r="EY11" s="123">
        <v>0.408</v>
      </c>
      <c r="EZ11" s="123">
        <v>0.592</v>
      </c>
      <c r="FA11" s="122">
        <v>0.5</v>
      </c>
      <c r="FB11" s="122">
        <v>0.622</v>
      </c>
      <c r="FC11" s="123">
        <v>0.357</v>
      </c>
      <c r="FD11" s="123">
        <v>0.543</v>
      </c>
      <c r="FE11" s="122">
        <v>0.341</v>
      </c>
      <c r="FF11" s="122">
        <v>0.538</v>
      </c>
      <c r="FG11" s="123">
        <v>0.122</v>
      </c>
      <c r="FH11" s="123">
        <v>0.22</v>
      </c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12.75">
      <c r="A12" s="47" t="s">
        <v>30</v>
      </c>
      <c r="B12" s="9" t="s">
        <v>203</v>
      </c>
      <c r="C12" s="39" t="s">
        <v>15</v>
      </c>
      <c r="D12" s="39">
        <v>5033100011</v>
      </c>
      <c r="E12" s="39">
        <v>534100012</v>
      </c>
      <c r="F12" s="26" t="s">
        <v>108</v>
      </c>
      <c r="G12" s="10" t="s">
        <v>318</v>
      </c>
      <c r="H12" s="10" t="s">
        <v>65</v>
      </c>
      <c r="I12" s="10" t="s">
        <v>166</v>
      </c>
      <c r="J12" s="10" t="s">
        <v>172</v>
      </c>
      <c r="K12" s="61">
        <v>1</v>
      </c>
      <c r="L12" s="75" t="s">
        <v>22</v>
      </c>
      <c r="M12" s="62" t="s">
        <v>21</v>
      </c>
      <c r="N12" s="62"/>
      <c r="O12" s="76"/>
      <c r="P12" s="76"/>
      <c r="Q12" s="76"/>
      <c r="R12" s="76"/>
      <c r="S12" s="76"/>
      <c r="T12" s="76"/>
      <c r="U12" s="76"/>
      <c r="V12" s="76"/>
      <c r="W12" s="62">
        <v>0.534</v>
      </c>
      <c r="X12" s="62">
        <v>0.54</v>
      </c>
      <c r="Y12" s="62">
        <v>0.4554</v>
      </c>
      <c r="Z12" s="62">
        <v>0.4565</v>
      </c>
      <c r="AA12" s="62">
        <v>0.4214876033057851</v>
      </c>
      <c r="AB12" s="62">
        <v>0.4444</v>
      </c>
      <c r="AC12" s="62">
        <v>0.4409</v>
      </c>
      <c r="AD12" s="62">
        <v>0.6146</v>
      </c>
      <c r="AE12" s="62">
        <v>0.5158</v>
      </c>
      <c r="AF12" s="62">
        <v>0.5435</v>
      </c>
      <c r="AG12" s="62">
        <v>0.5054</v>
      </c>
      <c r="AH12" s="62">
        <v>0.4255</v>
      </c>
      <c r="AI12" s="62">
        <v>0.6211</v>
      </c>
      <c r="AJ12" s="62">
        <v>0.6944</v>
      </c>
      <c r="AK12" s="80">
        <v>0.7162</v>
      </c>
      <c r="AL12" s="62">
        <v>0.6316</v>
      </c>
      <c r="AM12" s="62">
        <v>0.7027</v>
      </c>
      <c r="AN12" s="62">
        <v>0.775</v>
      </c>
      <c r="AO12" s="62">
        <v>0.654320987654321</v>
      </c>
      <c r="AP12" s="81">
        <v>0.525</v>
      </c>
      <c r="AQ12" s="81">
        <v>0.7051282051282052</v>
      </c>
      <c r="AR12" s="81">
        <v>0.4230769230769231</v>
      </c>
      <c r="AS12" s="81">
        <v>0.5789473684210527</v>
      </c>
      <c r="AT12" s="81">
        <v>0.6282051282051282</v>
      </c>
      <c r="AU12" s="81">
        <v>0.6075949367088608</v>
      </c>
      <c r="AV12" s="81">
        <v>0.5569620253164557</v>
      </c>
      <c r="AW12" s="81">
        <v>0.4795</v>
      </c>
      <c r="AX12" s="81">
        <v>0.4658</v>
      </c>
      <c r="AY12" s="81">
        <v>0.6757</v>
      </c>
      <c r="AZ12" s="81">
        <v>0.641</v>
      </c>
      <c r="BA12" s="81">
        <v>0.4634146341463415</v>
      </c>
      <c r="BB12" s="81">
        <v>0.6133</v>
      </c>
      <c r="BC12" s="60"/>
      <c r="BD12" s="60"/>
      <c r="BE12" s="60"/>
      <c r="BF12" s="60"/>
      <c r="BG12" s="62">
        <f>AVERAGE(W12:X12)</f>
        <v>0.537</v>
      </c>
      <c r="BH12" s="62">
        <f>(Z12+Y12)/2</f>
        <v>0.45595</v>
      </c>
      <c r="BI12" s="62">
        <f>AVERAGE(AA12:AB12)</f>
        <v>0.4329438016528926</v>
      </c>
      <c r="BJ12" s="62">
        <f>AVERAGE(AC12:AD12)</f>
        <v>0.52775</v>
      </c>
      <c r="BK12" s="62">
        <f>AVERAGE(AE12:AF12)</f>
        <v>0.52965</v>
      </c>
      <c r="BL12" s="62">
        <f>AVERAGE(AG12:AH12)</f>
        <v>0.46545</v>
      </c>
      <c r="BM12" s="62">
        <f>AVERAGE(AI12:AJ12)</f>
        <v>0.6577500000000001</v>
      </c>
      <c r="BN12" s="62">
        <f>AVERAGE(AK12:AL12)</f>
        <v>0.6738999999999999</v>
      </c>
      <c r="BO12" s="62">
        <f t="shared" si="2"/>
        <v>0.73885</v>
      </c>
      <c r="BP12" s="62">
        <f t="shared" si="2"/>
        <v>0.7146604938271606</v>
      </c>
      <c r="BQ12" s="62">
        <f t="shared" si="2"/>
        <v>0.5896604938271606</v>
      </c>
      <c r="BR12" s="62">
        <f t="shared" si="2"/>
        <v>0.6150641025641026</v>
      </c>
      <c r="BS12" s="62">
        <f t="shared" si="2"/>
        <v>0.5641025641025641</v>
      </c>
      <c r="BT12" s="62">
        <f t="shared" si="2"/>
        <v>0.5010121457489879</v>
      </c>
      <c r="BU12" s="62">
        <f t="shared" si="0"/>
        <v>0.65835</v>
      </c>
      <c r="BV12" s="62">
        <f t="shared" si="1"/>
        <v>0.5383573170731707</v>
      </c>
      <c r="BW12" s="61">
        <v>154</v>
      </c>
      <c r="BX12" s="54">
        <v>287</v>
      </c>
      <c r="BY12" s="54">
        <v>417</v>
      </c>
      <c r="BZ12" s="54">
        <v>550</v>
      </c>
      <c r="CA12" s="54">
        <v>599</v>
      </c>
      <c r="CB12" s="54">
        <v>609</v>
      </c>
      <c r="CC12" s="54">
        <v>621</v>
      </c>
      <c r="CD12" s="44">
        <v>598</v>
      </c>
      <c r="CE12" s="54">
        <v>592</v>
      </c>
      <c r="CF12" s="54">
        <v>565</v>
      </c>
      <c r="CG12" s="54">
        <f>518+79</f>
        <v>597</v>
      </c>
      <c r="CH12" s="54">
        <f>542+78</f>
        <v>620</v>
      </c>
      <c r="CI12" s="54">
        <f>573+79</f>
        <v>652</v>
      </c>
      <c r="CJ12" s="54">
        <f>605+77</f>
        <v>682</v>
      </c>
      <c r="CK12" s="54">
        <f>606+80</f>
        <v>686</v>
      </c>
      <c r="CL12" s="54">
        <f>617+81</f>
        <v>698</v>
      </c>
      <c r="CM12" s="54">
        <f>613+81</f>
        <v>694</v>
      </c>
      <c r="CN12" s="54">
        <f>618+79</f>
        <v>697</v>
      </c>
      <c r="CO12" s="54">
        <f>661+82</f>
        <v>743</v>
      </c>
      <c r="CP12" s="54">
        <v>767</v>
      </c>
      <c r="CQ12" s="54">
        <v>676</v>
      </c>
      <c r="CR12" s="55">
        <v>0.86</v>
      </c>
      <c r="CS12" s="55">
        <v>0.61</v>
      </c>
      <c r="CT12" s="55">
        <v>0.73</v>
      </c>
      <c r="CU12" s="55">
        <v>0.8</v>
      </c>
      <c r="CV12" s="55">
        <v>0.77</v>
      </c>
      <c r="CW12" s="64">
        <v>0.85</v>
      </c>
      <c r="CX12" s="64">
        <v>0.88</v>
      </c>
      <c r="CY12" s="55">
        <v>0.94</v>
      </c>
      <c r="CZ12" s="55">
        <v>0.95</v>
      </c>
      <c r="DA12" s="55">
        <v>0.79</v>
      </c>
      <c r="DB12" s="55">
        <v>0.95</v>
      </c>
      <c r="DC12" s="55">
        <v>0.88</v>
      </c>
      <c r="DD12" s="55">
        <v>0.91</v>
      </c>
      <c r="DE12" s="55">
        <v>0.85</v>
      </c>
      <c r="DF12" s="55">
        <v>0.9</v>
      </c>
      <c r="DG12" s="55">
        <v>0.96</v>
      </c>
      <c r="DH12" s="55">
        <v>0.96</v>
      </c>
      <c r="DI12" s="55">
        <v>0.8846153846153846</v>
      </c>
      <c r="DJ12" s="55">
        <v>0.9746835443037974</v>
      </c>
      <c r="DK12" s="55">
        <v>0.8860759493670886</v>
      </c>
      <c r="DL12" s="55">
        <v>0.77</v>
      </c>
      <c r="DM12" s="55">
        <v>0.88</v>
      </c>
      <c r="DN12" s="55">
        <v>0.84</v>
      </c>
      <c r="DO12" s="55">
        <v>0.6923076923076923</v>
      </c>
      <c r="DP12" s="55">
        <v>0.8607594936708861</v>
      </c>
      <c r="DQ12" s="55">
        <v>0.8170731707317073</v>
      </c>
      <c r="DR12" s="55">
        <v>0.8533333333333334</v>
      </c>
      <c r="DS12" s="55">
        <v>0.81</v>
      </c>
      <c r="DT12" s="55">
        <v>0.83</v>
      </c>
      <c r="DU12" s="55">
        <v>0.74</v>
      </c>
      <c r="DV12" s="55">
        <v>0.83</v>
      </c>
      <c r="DW12" s="55">
        <v>0.8767123287671232</v>
      </c>
      <c r="DX12" s="55">
        <v>0.78</v>
      </c>
      <c r="DY12" s="122">
        <v>0.674</v>
      </c>
      <c r="DZ12" s="122">
        <v>1</v>
      </c>
      <c r="EA12" s="123">
        <v>0.75</v>
      </c>
      <c r="EB12" s="123">
        <v>1</v>
      </c>
      <c r="EC12" s="122">
        <v>0.757</v>
      </c>
      <c r="ED12" s="122">
        <v>0.982</v>
      </c>
      <c r="EE12" s="123">
        <v>0.711</v>
      </c>
      <c r="EF12" s="123">
        <v>1</v>
      </c>
      <c r="EG12" s="122">
        <v>0.811</v>
      </c>
      <c r="EH12" s="122">
        <v>0.984</v>
      </c>
      <c r="EI12" s="123">
        <v>0.775</v>
      </c>
      <c r="EJ12" s="123">
        <v>0.912</v>
      </c>
      <c r="EK12" s="122">
        <v>0.813</v>
      </c>
      <c r="EL12" s="122">
        <v>0.984</v>
      </c>
      <c r="EM12" s="123">
        <v>0.694</v>
      </c>
      <c r="EN12" s="123">
        <v>0.962</v>
      </c>
      <c r="EO12" s="122">
        <v>0.889</v>
      </c>
      <c r="EP12" s="122">
        <v>0.985</v>
      </c>
      <c r="EQ12" s="123">
        <v>0.474</v>
      </c>
      <c r="ER12" s="123">
        <v>1</v>
      </c>
      <c r="ES12" s="122">
        <v>0.645</v>
      </c>
      <c r="ET12" s="122">
        <v>0.961</v>
      </c>
      <c r="EU12" s="124">
        <v>0.718</v>
      </c>
      <c r="EV12" s="123">
        <v>1</v>
      </c>
      <c r="EW12" s="122">
        <v>0.722</v>
      </c>
      <c r="EX12" s="122">
        <v>1</v>
      </c>
      <c r="EY12" s="124">
        <v>0.671</v>
      </c>
      <c r="EZ12" s="124">
        <v>0.964</v>
      </c>
      <c r="FA12" s="122">
        <v>0.534</v>
      </c>
      <c r="FB12" s="122">
        <v>0.929</v>
      </c>
      <c r="FC12" s="124">
        <v>0.438</v>
      </c>
      <c r="FD12" s="124">
        <v>0.711</v>
      </c>
      <c r="FE12" s="122">
        <v>0.568</v>
      </c>
      <c r="FF12" s="122">
        <v>0.764</v>
      </c>
      <c r="FG12" s="124">
        <v>0.301</v>
      </c>
      <c r="FH12" s="124">
        <v>0.429</v>
      </c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12.75">
      <c r="A13" s="47" t="s">
        <v>30</v>
      </c>
      <c r="B13" s="9" t="s">
        <v>203</v>
      </c>
      <c r="C13" s="39" t="s">
        <v>15</v>
      </c>
      <c r="D13" s="39">
        <v>5042100096</v>
      </c>
      <c r="E13" s="39">
        <v>533502090</v>
      </c>
      <c r="F13" s="26" t="s">
        <v>333</v>
      </c>
      <c r="G13" s="10" t="s">
        <v>318</v>
      </c>
      <c r="H13" s="10"/>
      <c r="I13" s="10" t="s">
        <v>166</v>
      </c>
      <c r="J13" s="10" t="s">
        <v>172</v>
      </c>
      <c r="K13" s="61"/>
      <c r="L13" s="75"/>
      <c r="M13" s="83"/>
      <c r="N13" s="62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81" t="s">
        <v>211</v>
      </c>
      <c r="AV13" s="81" t="s">
        <v>211</v>
      </c>
      <c r="AW13" s="81" t="s">
        <v>211</v>
      </c>
      <c r="AX13" s="81" t="s">
        <v>211</v>
      </c>
      <c r="AY13" s="81" t="s">
        <v>211</v>
      </c>
      <c r="AZ13" s="81">
        <v>0.7333</v>
      </c>
      <c r="BA13" s="81">
        <v>0.7142857142857143</v>
      </c>
      <c r="BB13" s="81">
        <v>0.5185</v>
      </c>
      <c r="BC13" s="60"/>
      <c r="BD13" s="60"/>
      <c r="BE13" s="60"/>
      <c r="BF13" s="60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>
        <f t="shared" si="0"/>
        <v>0.7333</v>
      </c>
      <c r="BV13" s="62">
        <f t="shared" si="1"/>
        <v>0.6163928571428572</v>
      </c>
      <c r="BW13" s="78"/>
      <c r="BX13" s="78"/>
      <c r="BY13" s="78"/>
      <c r="BZ13" s="78"/>
      <c r="CA13" s="54"/>
      <c r="CB13" s="54"/>
      <c r="CC13" s="54"/>
      <c r="CD13" s="44"/>
      <c r="CE13" s="54"/>
      <c r="CF13" s="54"/>
      <c r="CG13" s="54"/>
      <c r="CH13" s="54"/>
      <c r="CI13" s="54"/>
      <c r="CJ13" s="54"/>
      <c r="CK13" s="54"/>
      <c r="CL13" s="54">
        <v>17</v>
      </c>
      <c r="CM13" s="54">
        <f>46+30</f>
        <v>76</v>
      </c>
      <c r="CN13" s="54">
        <f>107+21</f>
        <v>128</v>
      </c>
      <c r="CO13" s="54">
        <f>153+34</f>
        <v>187</v>
      </c>
      <c r="CP13" s="54">
        <v>214</v>
      </c>
      <c r="CQ13" s="54">
        <v>191</v>
      </c>
      <c r="CR13" s="76"/>
      <c r="CS13" s="76"/>
      <c r="CT13" s="76"/>
      <c r="CU13" s="55"/>
      <c r="CV13" s="55"/>
      <c r="CW13" s="64"/>
      <c r="CX13" s="64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>
        <v>0.7333333333333333</v>
      </c>
      <c r="DQ13" s="66"/>
      <c r="DR13" s="55">
        <v>0.8571428571428571</v>
      </c>
      <c r="DS13" s="55">
        <v>0.93</v>
      </c>
      <c r="DT13" s="55">
        <v>0.83</v>
      </c>
      <c r="DU13" s="55">
        <v>0.8</v>
      </c>
      <c r="DV13" s="55">
        <v>0.87</v>
      </c>
      <c r="DW13" s="55">
        <v>0.7333333333333333</v>
      </c>
      <c r="DX13" s="55">
        <v>0.64</v>
      </c>
      <c r="DY13" s="122" t="s">
        <v>211</v>
      </c>
      <c r="DZ13" s="122" t="s">
        <v>211</v>
      </c>
      <c r="EA13" s="124" t="s">
        <v>211</v>
      </c>
      <c r="EB13" s="124" t="s">
        <v>211</v>
      </c>
      <c r="EC13" s="122" t="s">
        <v>211</v>
      </c>
      <c r="ED13" s="122" t="s">
        <v>211</v>
      </c>
      <c r="EE13" s="124" t="s">
        <v>211</v>
      </c>
      <c r="EF13" s="124" t="s">
        <v>211</v>
      </c>
      <c r="EG13" s="122" t="s">
        <v>211</v>
      </c>
      <c r="EH13" s="122" t="s">
        <v>211</v>
      </c>
      <c r="EI13" s="124" t="s">
        <v>211</v>
      </c>
      <c r="EJ13" s="124" t="s">
        <v>211</v>
      </c>
      <c r="EK13" s="122" t="s">
        <v>211</v>
      </c>
      <c r="EL13" s="122" t="s">
        <v>211</v>
      </c>
      <c r="EM13" s="124" t="s">
        <v>211</v>
      </c>
      <c r="EN13" s="124" t="s">
        <v>211</v>
      </c>
      <c r="EO13" s="122" t="s">
        <v>211</v>
      </c>
      <c r="EP13" s="122" t="s">
        <v>211</v>
      </c>
      <c r="EQ13" s="124" t="s">
        <v>211</v>
      </c>
      <c r="ER13" s="124" t="s">
        <v>211</v>
      </c>
      <c r="ES13" s="122" t="s">
        <v>211</v>
      </c>
      <c r="ET13" s="122" t="s">
        <v>211</v>
      </c>
      <c r="EU13" s="124" t="s">
        <v>211</v>
      </c>
      <c r="EV13" s="123" t="s">
        <v>211</v>
      </c>
      <c r="EW13" s="122" t="s">
        <v>211</v>
      </c>
      <c r="EX13" s="122" t="s">
        <v>211</v>
      </c>
      <c r="EY13" s="124" t="s">
        <v>211</v>
      </c>
      <c r="EZ13" s="123" t="s">
        <v>211</v>
      </c>
      <c r="FA13" s="122" t="s">
        <v>211</v>
      </c>
      <c r="FB13" s="122" t="s">
        <v>211</v>
      </c>
      <c r="FC13" s="124" t="s">
        <v>211</v>
      </c>
      <c r="FD13" s="123" t="s">
        <v>211</v>
      </c>
      <c r="FE13" s="122">
        <v>0.6</v>
      </c>
      <c r="FF13" s="122">
        <v>0.818</v>
      </c>
      <c r="FG13" s="124" t="s">
        <v>211</v>
      </c>
      <c r="FH13" s="123" t="s">
        <v>211</v>
      </c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12.75">
      <c r="A14" s="47" t="s">
        <v>187</v>
      </c>
      <c r="B14" s="47" t="s">
        <v>317</v>
      </c>
      <c r="C14" s="39" t="s">
        <v>7</v>
      </c>
      <c r="D14" s="39">
        <v>5031400021</v>
      </c>
      <c r="E14" s="39">
        <v>531400036</v>
      </c>
      <c r="F14" s="26" t="s">
        <v>334</v>
      </c>
      <c r="G14" s="10" t="s">
        <v>318</v>
      </c>
      <c r="H14" s="10"/>
      <c r="I14" s="10"/>
      <c r="J14" s="10"/>
      <c r="K14" s="61"/>
      <c r="L14" s="9"/>
      <c r="M14" s="83"/>
      <c r="N14" s="6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50"/>
      <c r="AI14" s="50"/>
      <c r="AJ14" s="50"/>
      <c r="AK14" s="43"/>
      <c r="AL14" s="50"/>
      <c r="AM14" s="76"/>
      <c r="AN14" s="76"/>
      <c r="AO14" s="76"/>
      <c r="AP14" s="76"/>
      <c r="AQ14" s="76"/>
      <c r="AR14" s="76"/>
      <c r="AS14" s="76"/>
      <c r="AT14" s="76"/>
      <c r="AU14" s="76"/>
      <c r="AV14" s="81">
        <v>0.13793103448275862</v>
      </c>
      <c r="AW14" s="81">
        <v>0.5</v>
      </c>
      <c r="AX14" s="81">
        <v>0.375</v>
      </c>
      <c r="AY14" s="81">
        <v>0.5455</v>
      </c>
      <c r="AZ14" s="81">
        <v>0.238</v>
      </c>
      <c r="BA14" s="81">
        <v>0.2</v>
      </c>
      <c r="BB14" s="81">
        <v>0.1154</v>
      </c>
      <c r="BC14" s="50"/>
      <c r="BD14" s="50"/>
      <c r="BE14" s="50"/>
      <c r="BF14" s="50"/>
      <c r="BG14" s="54"/>
      <c r="BH14" s="54"/>
      <c r="BI14" s="54"/>
      <c r="BJ14" s="54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62">
        <f t="shared" si="0"/>
        <v>0.39175</v>
      </c>
      <c r="BV14" s="62">
        <f t="shared" si="1"/>
        <v>0.1577</v>
      </c>
      <c r="BW14" s="47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>
        <f>28+8</f>
        <v>36</v>
      </c>
      <c r="CK14" s="54">
        <f>56+13</f>
        <v>69</v>
      </c>
      <c r="CL14" s="54">
        <f>82+11</f>
        <v>93</v>
      </c>
      <c r="CM14" s="54">
        <f>102+12</f>
        <v>114</v>
      </c>
      <c r="CN14" s="54">
        <f>141+22</f>
        <v>163</v>
      </c>
      <c r="CO14" s="54">
        <f>135+25</f>
        <v>160</v>
      </c>
      <c r="CP14" s="54">
        <v>167</v>
      </c>
      <c r="CQ14" s="54">
        <v>162</v>
      </c>
      <c r="CR14" s="54"/>
      <c r="CS14" s="54"/>
      <c r="CT14" s="50"/>
      <c r="CU14" s="50"/>
      <c r="CV14" s="55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5">
        <v>0.66</v>
      </c>
      <c r="DM14" s="55">
        <v>0.66</v>
      </c>
      <c r="DN14" s="55">
        <v>0.88</v>
      </c>
      <c r="DO14" s="55">
        <v>0.8181818181818182</v>
      </c>
      <c r="DP14" s="55">
        <v>0.7692307692307693</v>
      </c>
      <c r="DQ14" s="55">
        <v>0.7</v>
      </c>
      <c r="DR14" s="55">
        <v>0.8076923076923077</v>
      </c>
      <c r="DS14" s="55">
        <v>0.58</v>
      </c>
      <c r="DT14" s="55">
        <v>0.62</v>
      </c>
      <c r="DU14" s="55">
        <v>0.64</v>
      </c>
      <c r="DV14" s="55">
        <v>0.66</v>
      </c>
      <c r="DW14" s="55">
        <v>0.6956521739130435</v>
      </c>
      <c r="DX14" s="55">
        <v>0.69</v>
      </c>
      <c r="DY14" s="122" t="s">
        <v>211</v>
      </c>
      <c r="DZ14" s="122" t="s">
        <v>211</v>
      </c>
      <c r="EA14" s="124" t="s">
        <v>211</v>
      </c>
      <c r="EB14" s="124" t="s">
        <v>211</v>
      </c>
      <c r="EC14" s="122" t="s">
        <v>211</v>
      </c>
      <c r="ED14" s="122" t="s">
        <v>211</v>
      </c>
      <c r="EE14" s="124" t="s">
        <v>211</v>
      </c>
      <c r="EF14" s="124" t="s">
        <v>211</v>
      </c>
      <c r="EG14" s="122" t="s">
        <v>211</v>
      </c>
      <c r="EH14" s="122" t="s">
        <v>211</v>
      </c>
      <c r="EI14" s="124" t="s">
        <v>211</v>
      </c>
      <c r="EJ14" s="124" t="s">
        <v>211</v>
      </c>
      <c r="EK14" s="122" t="s">
        <v>211</v>
      </c>
      <c r="EL14" s="122" t="s">
        <v>211</v>
      </c>
      <c r="EM14" s="124" t="s">
        <v>211</v>
      </c>
      <c r="EN14" s="124" t="s">
        <v>211</v>
      </c>
      <c r="EO14" s="122" t="s">
        <v>211</v>
      </c>
      <c r="EP14" s="122" t="s">
        <v>211</v>
      </c>
      <c r="EQ14" s="124" t="s">
        <v>211</v>
      </c>
      <c r="ER14" s="124" t="s">
        <v>211</v>
      </c>
      <c r="ES14" s="122" t="s">
        <v>211</v>
      </c>
      <c r="ET14" s="122" t="s">
        <v>211</v>
      </c>
      <c r="EU14" s="124" t="s">
        <v>211</v>
      </c>
      <c r="EV14" s="124" t="s">
        <v>211</v>
      </c>
      <c r="EW14" s="122" t="s">
        <v>211</v>
      </c>
      <c r="EX14" s="122" t="s">
        <v>211</v>
      </c>
      <c r="EY14" s="124">
        <v>0.379</v>
      </c>
      <c r="EZ14" s="123">
        <v>0.733</v>
      </c>
      <c r="FA14" s="122">
        <v>0.5</v>
      </c>
      <c r="FB14" s="122">
        <v>0.8</v>
      </c>
      <c r="FC14" s="124">
        <v>0.25</v>
      </c>
      <c r="FD14" s="123">
        <v>0.5</v>
      </c>
      <c r="FE14" s="122">
        <v>0.091</v>
      </c>
      <c r="FF14" s="122">
        <v>0.143</v>
      </c>
      <c r="FG14" s="124">
        <v>0.038</v>
      </c>
      <c r="FH14" s="123">
        <v>0.1</v>
      </c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12.75">
      <c r="A15" s="47" t="s">
        <v>187</v>
      </c>
      <c r="B15" s="47" t="s">
        <v>317</v>
      </c>
      <c r="C15" s="39" t="s">
        <v>7</v>
      </c>
      <c r="D15" s="39">
        <v>5051200031</v>
      </c>
      <c r="E15" s="39">
        <v>541100074</v>
      </c>
      <c r="F15" s="26" t="s">
        <v>335</v>
      </c>
      <c r="G15" s="10" t="s">
        <v>318</v>
      </c>
      <c r="H15" s="10"/>
      <c r="I15" s="10"/>
      <c r="J15" s="10"/>
      <c r="K15" s="61"/>
      <c r="L15" s="9"/>
      <c r="M15" s="83"/>
      <c r="N15" s="6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50"/>
      <c r="AI15" s="50"/>
      <c r="AJ15" s="50"/>
      <c r="AK15" s="43"/>
      <c r="AL15" s="50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81">
        <v>0.45454545454545453</v>
      </c>
      <c r="BB15" s="81">
        <v>0.2857</v>
      </c>
      <c r="BC15" s="50"/>
      <c r="BD15" s="50"/>
      <c r="BE15" s="50"/>
      <c r="BF15" s="50"/>
      <c r="BG15" s="54"/>
      <c r="BH15" s="54"/>
      <c r="BI15" s="54"/>
      <c r="BJ15" s="54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62"/>
      <c r="BV15" s="62">
        <f t="shared" si="1"/>
        <v>0.37012272727272727</v>
      </c>
      <c r="BW15" s="47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>
        <v>11</v>
      </c>
      <c r="CM15" s="54">
        <f>50+10</f>
        <v>60</v>
      </c>
      <c r="CN15" s="54">
        <f>69+14</f>
        <v>83</v>
      </c>
      <c r="CO15" s="54">
        <f>91+24</f>
        <v>115</v>
      </c>
      <c r="CP15" s="54">
        <v>139</v>
      </c>
      <c r="CQ15" s="54">
        <v>149</v>
      </c>
      <c r="CR15" s="54"/>
      <c r="CS15" s="54"/>
      <c r="CT15" s="50"/>
      <c r="CU15" s="50"/>
      <c r="CV15" s="55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5"/>
      <c r="DM15" s="55"/>
      <c r="DN15" s="55"/>
      <c r="DO15" s="125" t="s">
        <v>211</v>
      </c>
      <c r="DP15" s="125" t="s">
        <v>211</v>
      </c>
      <c r="DQ15" s="126">
        <v>0.82</v>
      </c>
      <c r="DR15" s="126">
        <v>0.57</v>
      </c>
      <c r="DS15" s="126">
        <v>0.44</v>
      </c>
      <c r="DT15" s="126">
        <v>0.55</v>
      </c>
      <c r="DU15" s="126">
        <v>0.38</v>
      </c>
      <c r="DV15" s="126">
        <v>0.64</v>
      </c>
      <c r="DW15" s="55">
        <v>0.631578947368421</v>
      </c>
      <c r="DX15" s="55">
        <v>0.84</v>
      </c>
      <c r="DY15" s="122" t="s">
        <v>211</v>
      </c>
      <c r="DZ15" s="122" t="s">
        <v>211</v>
      </c>
      <c r="EA15" s="124" t="s">
        <v>211</v>
      </c>
      <c r="EB15" s="124" t="s">
        <v>211</v>
      </c>
      <c r="EC15" s="122" t="s">
        <v>211</v>
      </c>
      <c r="ED15" s="122" t="s">
        <v>211</v>
      </c>
      <c r="EE15" s="124" t="s">
        <v>211</v>
      </c>
      <c r="EF15" s="124" t="s">
        <v>211</v>
      </c>
      <c r="EG15" s="122" t="s">
        <v>211</v>
      </c>
      <c r="EH15" s="122" t="s">
        <v>211</v>
      </c>
      <c r="EI15" s="124" t="s">
        <v>211</v>
      </c>
      <c r="EJ15" s="124" t="s">
        <v>211</v>
      </c>
      <c r="EK15" s="122" t="s">
        <v>211</v>
      </c>
      <c r="EL15" s="122" t="s">
        <v>211</v>
      </c>
      <c r="EM15" s="124" t="s">
        <v>211</v>
      </c>
      <c r="EN15" s="124" t="s">
        <v>211</v>
      </c>
      <c r="EO15" s="122" t="s">
        <v>211</v>
      </c>
      <c r="EP15" s="122" t="s">
        <v>211</v>
      </c>
      <c r="EQ15" s="124" t="s">
        <v>211</v>
      </c>
      <c r="ER15" s="124" t="s">
        <v>211</v>
      </c>
      <c r="ES15" s="122" t="s">
        <v>211</v>
      </c>
      <c r="ET15" s="122" t="s">
        <v>211</v>
      </c>
      <c r="EU15" s="123" t="s">
        <v>211</v>
      </c>
      <c r="EV15" s="123" t="s">
        <v>211</v>
      </c>
      <c r="EW15" s="122" t="s">
        <v>211</v>
      </c>
      <c r="EX15" s="122" t="s">
        <v>211</v>
      </c>
      <c r="EY15" s="123" t="s">
        <v>211</v>
      </c>
      <c r="EZ15" s="123" t="s">
        <v>211</v>
      </c>
      <c r="FA15" s="122" t="s">
        <v>211</v>
      </c>
      <c r="FB15" s="122" t="s">
        <v>211</v>
      </c>
      <c r="FC15" s="123"/>
      <c r="FD15" s="123"/>
      <c r="FE15" s="122"/>
      <c r="FF15" s="122"/>
      <c r="FG15" s="123"/>
      <c r="FH15" s="123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12.75">
      <c r="A16" s="47" t="s">
        <v>187</v>
      </c>
      <c r="B16" s="47" t="s">
        <v>317</v>
      </c>
      <c r="C16" s="39" t="s">
        <v>7</v>
      </c>
      <c r="D16" s="39">
        <v>5052200020</v>
      </c>
      <c r="E16" s="39">
        <v>551700113</v>
      </c>
      <c r="F16" s="26" t="s">
        <v>236</v>
      </c>
      <c r="G16" s="10" t="s">
        <v>318</v>
      </c>
      <c r="H16" s="10"/>
      <c r="I16" s="10"/>
      <c r="J16" s="10"/>
      <c r="K16" s="61"/>
      <c r="L16" s="9"/>
      <c r="M16" s="83"/>
      <c r="N16" s="62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50"/>
      <c r="AI16" s="50"/>
      <c r="AJ16" s="50"/>
      <c r="AK16" s="43"/>
      <c r="AL16" s="50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81">
        <v>0.4444444444444444</v>
      </c>
      <c r="BB16" s="81">
        <v>0.2857</v>
      </c>
      <c r="BC16" s="50"/>
      <c r="BD16" s="50"/>
      <c r="BE16" s="50"/>
      <c r="BF16" s="50"/>
      <c r="BG16" s="54"/>
      <c r="BH16" s="54"/>
      <c r="BI16" s="54"/>
      <c r="BJ16" s="54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62"/>
      <c r="BV16" s="62">
        <f t="shared" si="1"/>
        <v>0.36507222222222224</v>
      </c>
      <c r="BW16" s="47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>
        <v>13</v>
      </c>
      <c r="CM16" s="54">
        <f>32+5</f>
        <v>37</v>
      </c>
      <c r="CN16" s="54">
        <f>50+14</f>
        <v>64</v>
      </c>
      <c r="CO16" s="54">
        <f>70+28</f>
        <v>98</v>
      </c>
      <c r="CP16" s="54">
        <v>137</v>
      </c>
      <c r="CQ16" s="54">
        <v>143</v>
      </c>
      <c r="CR16" s="54"/>
      <c r="CS16" s="54"/>
      <c r="CT16" s="50"/>
      <c r="CU16" s="50"/>
      <c r="CV16" s="55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5"/>
      <c r="DM16" s="55"/>
      <c r="DN16" s="55"/>
      <c r="DO16" s="125" t="s">
        <v>211</v>
      </c>
      <c r="DP16" s="125" t="s">
        <v>211</v>
      </c>
      <c r="DQ16" s="126">
        <v>0.56</v>
      </c>
      <c r="DR16" s="126">
        <v>0.52</v>
      </c>
      <c r="DS16" s="126">
        <v>0.4</v>
      </c>
      <c r="DT16" s="126">
        <v>0.55</v>
      </c>
      <c r="DU16" s="126">
        <v>0.46</v>
      </c>
      <c r="DV16" s="126">
        <v>0.5</v>
      </c>
      <c r="DW16" s="55">
        <v>0.72</v>
      </c>
      <c r="DX16" s="55">
        <v>0.88</v>
      </c>
      <c r="DY16" s="122" t="s">
        <v>211</v>
      </c>
      <c r="DZ16" s="122" t="s">
        <v>211</v>
      </c>
      <c r="EA16" s="124" t="s">
        <v>211</v>
      </c>
      <c r="EB16" s="124" t="s">
        <v>211</v>
      </c>
      <c r="EC16" s="122" t="s">
        <v>211</v>
      </c>
      <c r="ED16" s="122" t="s">
        <v>211</v>
      </c>
      <c r="EE16" s="124" t="s">
        <v>211</v>
      </c>
      <c r="EF16" s="124" t="s">
        <v>211</v>
      </c>
      <c r="EG16" s="122" t="s">
        <v>211</v>
      </c>
      <c r="EH16" s="122" t="s">
        <v>211</v>
      </c>
      <c r="EI16" s="124" t="s">
        <v>211</v>
      </c>
      <c r="EJ16" s="124" t="s">
        <v>211</v>
      </c>
      <c r="EK16" s="122" t="s">
        <v>211</v>
      </c>
      <c r="EL16" s="122" t="s">
        <v>211</v>
      </c>
      <c r="EM16" s="124" t="s">
        <v>211</v>
      </c>
      <c r="EN16" s="124" t="s">
        <v>211</v>
      </c>
      <c r="EO16" s="122" t="s">
        <v>211</v>
      </c>
      <c r="EP16" s="122" t="s">
        <v>211</v>
      </c>
      <c r="EQ16" s="124" t="s">
        <v>211</v>
      </c>
      <c r="ER16" s="124" t="s">
        <v>211</v>
      </c>
      <c r="ES16" s="122" t="s">
        <v>211</v>
      </c>
      <c r="ET16" s="122" t="s">
        <v>211</v>
      </c>
      <c r="EU16" s="123" t="s">
        <v>211</v>
      </c>
      <c r="EV16" s="123" t="s">
        <v>211</v>
      </c>
      <c r="EW16" s="122" t="s">
        <v>211</v>
      </c>
      <c r="EX16" s="122" t="s">
        <v>211</v>
      </c>
      <c r="EY16" s="123" t="s">
        <v>211</v>
      </c>
      <c r="EZ16" s="123" t="s">
        <v>211</v>
      </c>
      <c r="FA16" s="122" t="s">
        <v>211</v>
      </c>
      <c r="FB16" s="122" t="s">
        <v>211</v>
      </c>
      <c r="FC16" s="123"/>
      <c r="FD16" s="123"/>
      <c r="FE16" s="122"/>
      <c r="FF16" s="122"/>
      <c r="FG16" s="123"/>
      <c r="FH16" s="123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12.75">
      <c r="A17" s="47" t="s">
        <v>187</v>
      </c>
      <c r="B17" s="47" t="s">
        <v>317</v>
      </c>
      <c r="C17" s="39" t="s">
        <v>7</v>
      </c>
      <c r="D17" s="39">
        <v>5071200031</v>
      </c>
      <c r="E17" s="39">
        <v>551200068</v>
      </c>
      <c r="F17" s="26" t="s">
        <v>336</v>
      </c>
      <c r="G17" s="10" t="s">
        <v>318</v>
      </c>
      <c r="H17" s="26"/>
      <c r="I17" s="26"/>
      <c r="J17" s="26"/>
      <c r="K17" s="61"/>
      <c r="L17" s="9"/>
      <c r="M17" s="83"/>
      <c r="N17" s="62"/>
      <c r="O17" s="26"/>
      <c r="P17" s="26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41"/>
      <c r="AE17" s="41"/>
      <c r="AF17" s="41"/>
      <c r="AG17" s="41"/>
      <c r="AH17" s="50"/>
      <c r="AI17" s="50"/>
      <c r="AJ17" s="50"/>
      <c r="AK17" s="43"/>
      <c r="AL17" s="50"/>
      <c r="AM17" s="76"/>
      <c r="AN17" s="76"/>
      <c r="AO17" s="76"/>
      <c r="AP17" s="76"/>
      <c r="AQ17" s="76"/>
      <c r="AR17" s="76"/>
      <c r="AS17" s="76"/>
      <c r="AT17" s="76"/>
      <c r="AU17" s="76"/>
      <c r="AV17" s="81">
        <v>0.21739130434782608</v>
      </c>
      <c r="AW17" s="81">
        <v>0.3333</v>
      </c>
      <c r="AX17" s="81">
        <v>0.0938</v>
      </c>
      <c r="AY17" s="81">
        <v>0</v>
      </c>
      <c r="AZ17" s="81">
        <v>0.0385</v>
      </c>
      <c r="BA17" s="81">
        <v>0.1</v>
      </c>
      <c r="BB17" s="81">
        <v>0.0357</v>
      </c>
      <c r="BC17" s="50"/>
      <c r="BD17" s="50"/>
      <c r="BE17" s="50"/>
      <c r="BF17" s="50"/>
      <c r="BG17" s="47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62">
        <f aca="true" t="shared" si="3" ref="BU17:BU22">AVERAGE(AY17:AZ17)</f>
        <v>0.01925</v>
      </c>
      <c r="BV17" s="62">
        <f t="shared" si="1"/>
        <v>0.06785000000000001</v>
      </c>
      <c r="BW17" s="47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>
        <f>23+6</f>
        <v>29</v>
      </c>
      <c r="CK17" s="54">
        <f>47+5</f>
        <v>52</v>
      </c>
      <c r="CL17" s="54">
        <f>69+10</f>
        <v>79</v>
      </c>
      <c r="CM17" s="54">
        <f>82+6</f>
        <v>88</v>
      </c>
      <c r="CN17" s="54">
        <f>95+9</f>
        <v>104</v>
      </c>
      <c r="CO17" s="54">
        <f>99+10</f>
        <v>109</v>
      </c>
      <c r="CP17" s="54">
        <v>102</v>
      </c>
      <c r="CQ17" s="54">
        <v>84</v>
      </c>
      <c r="CR17" s="54"/>
      <c r="CS17" s="54"/>
      <c r="CT17" s="50"/>
      <c r="CU17" s="50"/>
      <c r="CV17" s="55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5">
        <v>0.52</v>
      </c>
      <c r="DM17" s="55">
        <v>0.33</v>
      </c>
      <c r="DN17" s="55">
        <v>0.63</v>
      </c>
      <c r="DO17" s="55">
        <v>0.8</v>
      </c>
      <c r="DP17" s="55">
        <v>0.5384615384615384</v>
      </c>
      <c r="DQ17" s="55">
        <v>0.6</v>
      </c>
      <c r="DR17" s="55">
        <v>0.6071428571428571</v>
      </c>
      <c r="DS17" s="55">
        <v>0.5</v>
      </c>
      <c r="DT17" s="55">
        <v>0.52</v>
      </c>
      <c r="DU17" s="55">
        <v>0.67</v>
      </c>
      <c r="DV17" s="55">
        <v>0.38</v>
      </c>
      <c r="DW17" s="55">
        <v>0.33</v>
      </c>
      <c r="DX17" s="55">
        <v>0.64</v>
      </c>
      <c r="DY17" s="122" t="s">
        <v>211</v>
      </c>
      <c r="DZ17" s="122" t="s">
        <v>211</v>
      </c>
      <c r="EA17" s="124" t="s">
        <v>211</v>
      </c>
      <c r="EB17" s="124" t="s">
        <v>211</v>
      </c>
      <c r="EC17" s="122" t="s">
        <v>211</v>
      </c>
      <c r="ED17" s="122" t="s">
        <v>211</v>
      </c>
      <c r="EE17" s="124" t="s">
        <v>211</v>
      </c>
      <c r="EF17" s="124" t="s">
        <v>211</v>
      </c>
      <c r="EG17" s="122" t="s">
        <v>211</v>
      </c>
      <c r="EH17" s="122" t="s">
        <v>211</v>
      </c>
      <c r="EI17" s="124" t="s">
        <v>211</v>
      </c>
      <c r="EJ17" s="124" t="s">
        <v>211</v>
      </c>
      <c r="EK17" s="122" t="s">
        <v>211</v>
      </c>
      <c r="EL17" s="122" t="s">
        <v>211</v>
      </c>
      <c r="EM17" s="124" t="s">
        <v>211</v>
      </c>
      <c r="EN17" s="124" t="s">
        <v>211</v>
      </c>
      <c r="EO17" s="122" t="s">
        <v>211</v>
      </c>
      <c r="EP17" s="122" t="s">
        <v>211</v>
      </c>
      <c r="EQ17" s="124" t="s">
        <v>211</v>
      </c>
      <c r="ER17" s="124" t="s">
        <v>211</v>
      </c>
      <c r="ES17" s="122" t="s">
        <v>211</v>
      </c>
      <c r="ET17" s="122" t="s">
        <v>211</v>
      </c>
      <c r="EU17" s="124" t="s">
        <v>211</v>
      </c>
      <c r="EV17" s="124" t="s">
        <v>211</v>
      </c>
      <c r="EW17" s="122" t="s">
        <v>211</v>
      </c>
      <c r="EX17" s="122" t="s">
        <v>211</v>
      </c>
      <c r="EY17" s="124">
        <v>0.304</v>
      </c>
      <c r="EZ17" s="123">
        <v>1</v>
      </c>
      <c r="FA17" s="122">
        <v>0</v>
      </c>
      <c r="FB17" s="122">
        <v>0</v>
      </c>
      <c r="FC17" s="124">
        <v>0.094</v>
      </c>
      <c r="FD17" s="123">
        <v>0.231</v>
      </c>
      <c r="FE17" s="122">
        <v>0</v>
      </c>
      <c r="FF17" s="122">
        <v>0</v>
      </c>
      <c r="FG17" s="124">
        <v>0</v>
      </c>
      <c r="FH17" s="123">
        <v>0</v>
      </c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12.75">
      <c r="A18" s="47" t="s">
        <v>155</v>
      </c>
      <c r="B18" s="9" t="s">
        <v>202</v>
      </c>
      <c r="C18" s="39" t="s">
        <v>24</v>
      </c>
      <c r="D18" s="39" t="s">
        <v>251</v>
      </c>
      <c r="E18" s="39" t="s">
        <v>251</v>
      </c>
      <c r="F18" s="9" t="s">
        <v>25</v>
      </c>
      <c r="G18" s="9" t="s">
        <v>323</v>
      </c>
      <c r="H18" s="9" t="s">
        <v>61</v>
      </c>
      <c r="I18" s="9" t="s">
        <v>162</v>
      </c>
      <c r="J18" s="9" t="s">
        <v>174</v>
      </c>
      <c r="K18" s="79"/>
      <c r="L18" s="59"/>
      <c r="M18" s="60"/>
      <c r="N18" s="60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81">
        <v>0.5072</v>
      </c>
      <c r="AR18" s="81">
        <v>0.25</v>
      </c>
      <c r="AS18" s="81">
        <v>0.18382352941176472</v>
      </c>
      <c r="AT18" s="81">
        <v>0</v>
      </c>
      <c r="AU18" s="81">
        <v>0.3333333333333333</v>
      </c>
      <c r="AV18" s="81">
        <v>0</v>
      </c>
      <c r="AW18" s="81">
        <v>0.3956</v>
      </c>
      <c r="AX18" s="81">
        <v>0</v>
      </c>
      <c r="AY18" s="81">
        <v>0.327</v>
      </c>
      <c r="AZ18" s="81">
        <v>0</v>
      </c>
      <c r="BA18" s="81">
        <v>0.48854961832061067</v>
      </c>
      <c r="BB18" s="81">
        <v>0.0714</v>
      </c>
      <c r="BC18" s="60"/>
      <c r="BD18" s="60"/>
      <c r="BE18" s="60"/>
      <c r="BF18" s="60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>
        <f>AVERAGE(AQ18:AR18)</f>
        <v>0.3786</v>
      </c>
      <c r="BR18" s="62">
        <f>AVERAGE(AS18:AT18)</f>
        <v>0.09191176470588236</v>
      </c>
      <c r="BS18" s="62">
        <f>AVERAGE(AU18:AV18)</f>
        <v>0.16666666666666666</v>
      </c>
      <c r="BT18" s="62">
        <f>AVERAGE(AW18:AX18)</f>
        <v>0.1978</v>
      </c>
      <c r="BU18" s="62">
        <f t="shared" si="3"/>
        <v>0.1635</v>
      </c>
      <c r="BV18" s="62">
        <f t="shared" si="1"/>
        <v>0.2799748091603053</v>
      </c>
      <c r="BW18" s="54"/>
      <c r="BX18" s="54"/>
      <c r="BY18" s="54"/>
      <c r="BZ18" s="54"/>
      <c r="CA18" s="54"/>
      <c r="CB18" s="54"/>
      <c r="CC18" s="54"/>
      <c r="CD18" s="44"/>
      <c r="CE18" s="54"/>
      <c r="CF18" s="54"/>
      <c r="CG18" s="54"/>
      <c r="CH18" s="54"/>
      <c r="CI18" s="54"/>
      <c r="CJ18" s="54">
        <v>73</v>
      </c>
      <c r="CK18" s="54">
        <f>132+0</f>
        <v>132</v>
      </c>
      <c r="CL18" s="54">
        <f>237+9</f>
        <v>246</v>
      </c>
      <c r="CM18" s="54">
        <f>350+0</f>
        <v>350</v>
      </c>
      <c r="CN18" s="54">
        <f>348+13</f>
        <v>361</v>
      </c>
      <c r="CO18" s="54">
        <f>363+14</f>
        <v>377</v>
      </c>
      <c r="CP18" s="54">
        <v>391</v>
      </c>
      <c r="CQ18" s="54">
        <v>444</v>
      </c>
      <c r="CR18" s="55"/>
      <c r="CS18" s="55"/>
      <c r="CT18" s="55"/>
      <c r="CU18" s="55"/>
      <c r="CV18" s="55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55">
        <v>0.65</v>
      </c>
      <c r="DK18" s="55">
        <v>0.63</v>
      </c>
      <c r="DL18" s="55">
        <v>0.67</v>
      </c>
      <c r="DM18" s="66"/>
      <c r="DN18" s="55">
        <v>0.69</v>
      </c>
      <c r="DO18" s="55">
        <v>0.25</v>
      </c>
      <c r="DP18" s="55">
        <v>0.74</v>
      </c>
      <c r="DQ18" s="55">
        <v>0.3157894736842105</v>
      </c>
      <c r="DR18" s="55">
        <v>0.4786729857819905</v>
      </c>
      <c r="DS18" s="55">
        <v>0.69</v>
      </c>
      <c r="DT18" s="55">
        <v>0.89</v>
      </c>
      <c r="DU18" s="55">
        <v>0.43</v>
      </c>
      <c r="DV18" s="55"/>
      <c r="DW18" s="55">
        <v>0.3333333333333333</v>
      </c>
      <c r="DX18" s="55">
        <v>0.88</v>
      </c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12.75">
      <c r="A19" s="47" t="s">
        <v>155</v>
      </c>
      <c r="B19" s="9" t="s">
        <v>202</v>
      </c>
      <c r="C19" s="39" t="s">
        <v>11</v>
      </c>
      <c r="D19" s="39">
        <v>5041200133</v>
      </c>
      <c r="E19" s="39">
        <v>533502122</v>
      </c>
      <c r="F19" s="26" t="s">
        <v>337</v>
      </c>
      <c r="G19" s="10" t="s">
        <v>318</v>
      </c>
      <c r="H19" s="10" t="s">
        <v>65</v>
      </c>
      <c r="I19" s="10" t="s">
        <v>166</v>
      </c>
      <c r="J19" s="10" t="s">
        <v>172</v>
      </c>
      <c r="K19" s="61">
        <v>1</v>
      </c>
      <c r="L19" s="75"/>
      <c r="M19" s="62" t="s">
        <v>21</v>
      </c>
      <c r="N19" s="62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7"/>
      <c r="AL19" s="76"/>
      <c r="AM19" s="62">
        <v>0.52</v>
      </c>
      <c r="AN19" s="62">
        <v>0.3076923076923077</v>
      </c>
      <c r="AO19" s="62">
        <v>0.9090909090909091</v>
      </c>
      <c r="AP19" s="81">
        <v>0</v>
      </c>
      <c r="AQ19" s="81">
        <v>0.42857142857142855</v>
      </c>
      <c r="AR19" s="81">
        <v>0.2727272727272727</v>
      </c>
      <c r="AS19" s="81">
        <v>0.5294117647058824</v>
      </c>
      <c r="AT19" s="81">
        <v>0.5</v>
      </c>
      <c r="AU19" s="81">
        <v>0.3333333333333333</v>
      </c>
      <c r="AV19" s="81">
        <v>0.5714285714285714</v>
      </c>
      <c r="AW19" s="81">
        <v>0.619</v>
      </c>
      <c r="AX19" s="81">
        <v>0.333</v>
      </c>
      <c r="AY19" s="81">
        <v>0.25</v>
      </c>
      <c r="AZ19" s="81">
        <v>0.25</v>
      </c>
      <c r="BA19" s="81">
        <v>0.4375</v>
      </c>
      <c r="BB19" s="81">
        <v>0.5</v>
      </c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>
        <f aca="true" t="shared" si="4" ref="BO19:BT19">AVERAGE(AM19:AN19)</f>
        <v>0.41384615384615386</v>
      </c>
      <c r="BP19" s="62">
        <f t="shared" si="4"/>
        <v>0.6083916083916083</v>
      </c>
      <c r="BQ19" s="62">
        <f t="shared" si="4"/>
        <v>0.45454545454545453</v>
      </c>
      <c r="BR19" s="62">
        <f t="shared" si="4"/>
        <v>0.21428571428571427</v>
      </c>
      <c r="BS19" s="62">
        <f t="shared" si="4"/>
        <v>0.35064935064935066</v>
      </c>
      <c r="BT19" s="62">
        <f t="shared" si="4"/>
        <v>0.40106951871657753</v>
      </c>
      <c r="BU19" s="62">
        <f t="shared" si="3"/>
        <v>0.25</v>
      </c>
      <c r="BV19" s="62">
        <f t="shared" si="1"/>
        <v>0.46875</v>
      </c>
      <c r="BW19" s="78"/>
      <c r="BX19" s="78"/>
      <c r="BY19" s="78"/>
      <c r="BZ19" s="78"/>
      <c r="CA19" s="78"/>
      <c r="CB19" s="78"/>
      <c r="CC19" s="78"/>
      <c r="CD19" s="78"/>
      <c r="CE19" s="78"/>
      <c r="CF19" s="54">
        <v>37</v>
      </c>
      <c r="CG19" s="54">
        <f>44+15</f>
        <v>59</v>
      </c>
      <c r="CH19" s="54">
        <f>78+11</f>
        <v>89</v>
      </c>
      <c r="CI19" s="54">
        <f>96+6</f>
        <v>102</v>
      </c>
      <c r="CJ19" s="54">
        <f>89+7</f>
        <v>96</v>
      </c>
      <c r="CK19" s="54">
        <f>87+6</f>
        <v>93</v>
      </c>
      <c r="CL19" s="54">
        <f>82+10</f>
        <v>92</v>
      </c>
      <c r="CM19" s="54">
        <f>80+10</f>
        <v>90</v>
      </c>
      <c r="CN19" s="54">
        <f>73+0</f>
        <v>73</v>
      </c>
      <c r="CO19" s="54">
        <v>67</v>
      </c>
      <c r="CP19" s="54">
        <v>57</v>
      </c>
      <c r="CQ19" s="54">
        <v>34</v>
      </c>
      <c r="CR19" s="55"/>
      <c r="CS19" s="55"/>
      <c r="CT19" s="55"/>
      <c r="CU19" s="55"/>
      <c r="CV19" s="55"/>
      <c r="CW19" s="64"/>
      <c r="CX19" s="64"/>
      <c r="CY19" s="55"/>
      <c r="CZ19" s="55"/>
      <c r="DA19" s="55"/>
      <c r="DB19" s="55"/>
      <c r="DC19" s="55"/>
      <c r="DD19" s="55">
        <v>0.88</v>
      </c>
      <c r="DE19" s="55">
        <v>0.92</v>
      </c>
      <c r="DF19" s="55">
        <v>1</v>
      </c>
      <c r="DG19" s="55">
        <v>0.92</v>
      </c>
      <c r="DH19" s="55">
        <v>0.67</v>
      </c>
      <c r="DI19" s="55">
        <v>0.82</v>
      </c>
      <c r="DJ19" s="55">
        <v>0.76</v>
      </c>
      <c r="DK19" s="55">
        <v>0.8333333333333334</v>
      </c>
      <c r="DL19" s="55">
        <v>0.67</v>
      </c>
      <c r="DM19" s="55">
        <v>0.86</v>
      </c>
      <c r="DN19" s="55">
        <v>0.95</v>
      </c>
      <c r="DO19" s="55">
        <v>0.6666666666666666</v>
      </c>
      <c r="DP19" s="55">
        <v>0.875</v>
      </c>
      <c r="DQ19" s="55">
        <v>0.75</v>
      </c>
      <c r="DR19" s="55">
        <v>0.5625</v>
      </c>
      <c r="DS19" s="55">
        <v>0.63</v>
      </c>
      <c r="DT19" s="55">
        <v>0.87</v>
      </c>
      <c r="DU19" s="66"/>
      <c r="DV19" s="55">
        <v>0.9</v>
      </c>
      <c r="DW19" s="130" t="s">
        <v>211</v>
      </c>
      <c r="DX19" s="130"/>
      <c r="DY19" s="122" t="s">
        <v>211</v>
      </c>
      <c r="DZ19" s="122" t="s">
        <v>211</v>
      </c>
      <c r="EA19" s="124" t="s">
        <v>211</v>
      </c>
      <c r="EB19" s="124" t="s">
        <v>211</v>
      </c>
      <c r="EC19" s="122" t="s">
        <v>211</v>
      </c>
      <c r="ED19" s="122" t="s">
        <v>211</v>
      </c>
      <c r="EE19" s="124" t="s">
        <v>211</v>
      </c>
      <c r="EF19" s="124" t="s">
        <v>211</v>
      </c>
      <c r="EG19" s="122">
        <v>0.6</v>
      </c>
      <c r="EH19" s="122">
        <v>0.938</v>
      </c>
      <c r="EI19" s="123">
        <v>0.769</v>
      </c>
      <c r="EJ19" s="123">
        <v>0.833</v>
      </c>
      <c r="EK19" s="122">
        <v>0.909</v>
      </c>
      <c r="EL19" s="122">
        <v>1</v>
      </c>
      <c r="EM19" s="123">
        <v>0.231</v>
      </c>
      <c r="EN19" s="123">
        <v>1</v>
      </c>
      <c r="EO19" s="122">
        <v>0.524</v>
      </c>
      <c r="EP19" s="122">
        <v>0.846</v>
      </c>
      <c r="EQ19" s="123">
        <v>0.455</v>
      </c>
      <c r="ER19" s="123">
        <v>1</v>
      </c>
      <c r="ES19" s="122">
        <v>0.529</v>
      </c>
      <c r="ET19" s="122">
        <v>0.75</v>
      </c>
      <c r="EU19" s="123">
        <v>0.333</v>
      </c>
      <c r="EV19" s="123">
        <v>0.667</v>
      </c>
      <c r="EW19" s="122">
        <v>0.444</v>
      </c>
      <c r="EX19" s="122">
        <v>1</v>
      </c>
      <c r="EY19" s="123">
        <v>0.714</v>
      </c>
      <c r="EZ19" s="123">
        <v>1</v>
      </c>
      <c r="FA19" s="122">
        <v>0.524</v>
      </c>
      <c r="FB19" s="122">
        <v>0.846</v>
      </c>
      <c r="FC19" s="123">
        <v>0.167</v>
      </c>
      <c r="FD19" s="123">
        <v>0.5</v>
      </c>
      <c r="FE19" s="122">
        <v>0.125</v>
      </c>
      <c r="FF19" s="122">
        <v>0.2222222222222222</v>
      </c>
      <c r="FG19" s="123">
        <v>0</v>
      </c>
      <c r="FH19" s="123">
        <v>0</v>
      </c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12.75">
      <c r="A20" s="47" t="s">
        <v>155</v>
      </c>
      <c r="B20" s="9" t="s">
        <v>202</v>
      </c>
      <c r="C20" s="39" t="s">
        <v>9</v>
      </c>
      <c r="D20" s="39">
        <v>5031100007</v>
      </c>
      <c r="E20" s="39">
        <v>531100014</v>
      </c>
      <c r="F20" s="26" t="s">
        <v>105</v>
      </c>
      <c r="G20" s="10" t="s">
        <v>318</v>
      </c>
      <c r="H20" s="10" t="s">
        <v>66</v>
      </c>
      <c r="I20" s="10" t="s">
        <v>165</v>
      </c>
      <c r="J20" s="10" t="s">
        <v>170</v>
      </c>
      <c r="K20" s="61"/>
      <c r="L20" s="75"/>
      <c r="M20" s="83"/>
      <c r="N20" s="62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  <c r="AL20" s="76"/>
      <c r="AM20" s="76"/>
      <c r="AN20" s="76"/>
      <c r="AO20" s="76"/>
      <c r="AP20" s="76"/>
      <c r="AQ20" s="76"/>
      <c r="AR20" s="76"/>
      <c r="AS20" s="81">
        <v>0.6285714285714286</v>
      </c>
      <c r="AT20" s="81">
        <v>0.6341463414634146</v>
      </c>
      <c r="AU20" s="81">
        <v>0.6428571428571429</v>
      </c>
      <c r="AV20" s="81">
        <v>0.5609756097560976</v>
      </c>
      <c r="AW20" s="81">
        <v>0.2667</v>
      </c>
      <c r="AX20" s="81">
        <v>0.5439</v>
      </c>
      <c r="AY20" s="81">
        <v>0.5238</v>
      </c>
      <c r="AZ20" s="81">
        <v>0.5417</v>
      </c>
      <c r="BA20" s="81">
        <v>0.3125</v>
      </c>
      <c r="BB20" s="81">
        <v>0.4423</v>
      </c>
      <c r="BC20" s="50"/>
      <c r="BD20" s="50"/>
      <c r="BE20" s="50"/>
      <c r="BF20" s="50"/>
      <c r="BG20" s="54"/>
      <c r="BH20" s="54"/>
      <c r="BI20" s="54"/>
      <c r="BJ20" s="54"/>
      <c r="BK20" s="54"/>
      <c r="BL20" s="54"/>
      <c r="BM20" s="54"/>
      <c r="BN20" s="62"/>
      <c r="BO20" s="62"/>
      <c r="BP20" s="62"/>
      <c r="BQ20" s="62"/>
      <c r="BR20" s="62"/>
      <c r="BS20" s="62"/>
      <c r="BT20" s="62"/>
      <c r="BU20" s="62">
        <f t="shared" si="3"/>
        <v>0.5327500000000001</v>
      </c>
      <c r="BV20" s="62">
        <f t="shared" si="1"/>
        <v>0.3774</v>
      </c>
      <c r="BW20" s="78"/>
      <c r="BX20" s="78"/>
      <c r="BY20" s="78"/>
      <c r="BZ20" s="78"/>
      <c r="CA20" s="78"/>
      <c r="CB20" s="78"/>
      <c r="CC20" s="78"/>
      <c r="CD20" s="78"/>
      <c r="CE20" s="78"/>
      <c r="CF20" s="54"/>
      <c r="CG20" s="54"/>
      <c r="CH20" s="54">
        <v>33</v>
      </c>
      <c r="CI20" s="54">
        <f>74+28</f>
        <v>102</v>
      </c>
      <c r="CJ20" s="54">
        <f>128+15</f>
        <v>143</v>
      </c>
      <c r="CK20" s="54">
        <f>195+21</f>
        <v>216</v>
      </c>
      <c r="CL20" s="54">
        <f>237+17</f>
        <v>254</v>
      </c>
      <c r="CM20" s="54">
        <f>260+36</f>
        <v>296</v>
      </c>
      <c r="CN20" s="54">
        <f>268+25</f>
        <v>293</v>
      </c>
      <c r="CO20" s="54">
        <f>319+18</f>
        <v>337</v>
      </c>
      <c r="CP20" s="54">
        <v>333</v>
      </c>
      <c r="CQ20" s="54">
        <v>303</v>
      </c>
      <c r="CR20" s="55"/>
      <c r="CS20" s="55"/>
      <c r="CT20" s="55"/>
      <c r="CU20" s="55"/>
      <c r="CV20" s="55"/>
      <c r="CW20" s="64"/>
      <c r="CX20" s="64"/>
      <c r="CY20" s="55"/>
      <c r="CZ20" s="55"/>
      <c r="DA20" s="55"/>
      <c r="DB20" s="55"/>
      <c r="DC20" s="55"/>
      <c r="DD20" s="66"/>
      <c r="DE20" s="66"/>
      <c r="DF20" s="66"/>
      <c r="DG20" s="66"/>
      <c r="DH20" s="66"/>
      <c r="DI20" s="55">
        <v>0.94</v>
      </c>
      <c r="DJ20" s="55">
        <v>0.9</v>
      </c>
      <c r="DK20" s="55">
        <v>0.7857142857142857</v>
      </c>
      <c r="DL20" s="55">
        <v>0.83</v>
      </c>
      <c r="DM20" s="55">
        <v>0.6</v>
      </c>
      <c r="DN20" s="55">
        <v>0.79</v>
      </c>
      <c r="DO20" s="55">
        <v>0.7619047619047619</v>
      </c>
      <c r="DP20" s="55">
        <v>0.8333333333333334</v>
      </c>
      <c r="DQ20" s="55">
        <v>0.6875</v>
      </c>
      <c r="DR20" s="55">
        <v>0.7884615384615384</v>
      </c>
      <c r="DS20" s="55">
        <v>0.83</v>
      </c>
      <c r="DT20" s="55">
        <v>0.84</v>
      </c>
      <c r="DU20" s="55">
        <v>0.87</v>
      </c>
      <c r="DV20" s="55">
        <v>0.78</v>
      </c>
      <c r="DW20" s="55">
        <v>0.6875</v>
      </c>
      <c r="DX20" s="55">
        <v>0.87</v>
      </c>
      <c r="DY20" s="122" t="s">
        <v>211</v>
      </c>
      <c r="DZ20" s="122" t="s">
        <v>211</v>
      </c>
      <c r="EA20" s="123" t="s">
        <v>211</v>
      </c>
      <c r="EB20" s="123" t="s">
        <v>211</v>
      </c>
      <c r="EC20" s="122" t="s">
        <v>211</v>
      </c>
      <c r="ED20" s="122" t="s">
        <v>211</v>
      </c>
      <c r="EE20" s="123" t="s">
        <v>211</v>
      </c>
      <c r="EF20" s="123" t="s">
        <v>211</v>
      </c>
      <c r="EG20" s="122" t="s">
        <v>211</v>
      </c>
      <c r="EH20" s="122" t="s">
        <v>211</v>
      </c>
      <c r="EI20" s="123" t="s">
        <v>211</v>
      </c>
      <c r="EJ20" s="123" t="s">
        <v>211</v>
      </c>
      <c r="EK20" s="122" t="s">
        <v>211</v>
      </c>
      <c r="EL20" s="122" t="s">
        <v>211</v>
      </c>
      <c r="EM20" s="123" t="s">
        <v>211</v>
      </c>
      <c r="EN20" s="123" t="s">
        <v>211</v>
      </c>
      <c r="EO20" s="122" t="s">
        <v>211</v>
      </c>
      <c r="EP20" s="122" t="s">
        <v>211</v>
      </c>
      <c r="EQ20" s="123" t="s">
        <v>211</v>
      </c>
      <c r="ER20" s="123" t="s">
        <v>211</v>
      </c>
      <c r="ES20" s="122">
        <v>0.686</v>
      </c>
      <c r="ET20" s="122">
        <v>0.96</v>
      </c>
      <c r="EU20" s="123">
        <v>0.805</v>
      </c>
      <c r="EV20" s="123">
        <v>0.971</v>
      </c>
      <c r="EW20" s="122">
        <v>0.643</v>
      </c>
      <c r="EX20" s="122">
        <v>0.947</v>
      </c>
      <c r="EY20" s="123">
        <v>0.463</v>
      </c>
      <c r="EZ20" s="123">
        <v>0.655</v>
      </c>
      <c r="FA20" s="122">
        <v>0.267</v>
      </c>
      <c r="FB20" s="122">
        <v>0.571</v>
      </c>
      <c r="FC20" s="123">
        <v>0.456</v>
      </c>
      <c r="FD20" s="123">
        <v>0.684</v>
      </c>
      <c r="FE20" s="122">
        <v>0.286</v>
      </c>
      <c r="FF20" s="122">
        <v>0.462</v>
      </c>
      <c r="FG20" s="123">
        <v>0.167</v>
      </c>
      <c r="FH20" s="123">
        <v>0.296</v>
      </c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12.75">
      <c r="A21" s="47" t="s">
        <v>28</v>
      </c>
      <c r="B21" s="9" t="s">
        <v>204</v>
      </c>
      <c r="C21" s="39" t="s">
        <v>24</v>
      </c>
      <c r="D21" s="39" t="s">
        <v>284</v>
      </c>
      <c r="E21" s="39" t="s">
        <v>253</v>
      </c>
      <c r="F21" s="9" t="s">
        <v>25</v>
      </c>
      <c r="G21" s="9" t="s">
        <v>323</v>
      </c>
      <c r="H21" s="9" t="s">
        <v>61</v>
      </c>
      <c r="I21" s="9" t="s">
        <v>162</v>
      </c>
      <c r="J21" s="9" t="s">
        <v>174</v>
      </c>
      <c r="K21" s="79"/>
      <c r="L21" s="59"/>
      <c r="M21" s="60"/>
      <c r="N21" s="60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81">
        <v>0.7684210526315789</v>
      </c>
      <c r="AV21" s="81">
        <v>0.23076923076923078</v>
      </c>
      <c r="AW21" s="81">
        <v>0.4419</v>
      </c>
      <c r="AX21" s="81">
        <v>0</v>
      </c>
      <c r="AY21" s="81">
        <v>0.4197</v>
      </c>
      <c r="AZ21" s="81">
        <v>0.2571</v>
      </c>
      <c r="BA21" s="81">
        <v>0.4217391304347826</v>
      </c>
      <c r="BB21" s="81">
        <v>0.0588</v>
      </c>
      <c r="BC21" s="60"/>
      <c r="BD21" s="60"/>
      <c r="BE21" s="60"/>
      <c r="BF21" s="60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>
        <f>AVERAGE(AU21:AV21)</f>
        <v>0.49959514170040487</v>
      </c>
      <c r="BT21" s="62">
        <f>AVERAGE(AW21:AX21)</f>
        <v>0.22095</v>
      </c>
      <c r="BU21" s="62">
        <f t="shared" si="3"/>
        <v>0.33840000000000003</v>
      </c>
      <c r="BV21" s="62">
        <f>AVERAGE(BA21:BB21)</f>
        <v>0.24026956521739132</v>
      </c>
      <c r="BW21" s="54"/>
      <c r="BX21" s="54"/>
      <c r="BY21" s="54"/>
      <c r="BZ21" s="54"/>
      <c r="CA21" s="54"/>
      <c r="CB21" s="54"/>
      <c r="CC21" s="54"/>
      <c r="CD21" s="44"/>
      <c r="CE21" s="54"/>
      <c r="CF21" s="54"/>
      <c r="CG21" s="54"/>
      <c r="CH21" s="54"/>
      <c r="CI21" s="54"/>
      <c r="CJ21" s="54"/>
      <c r="CK21" s="54">
        <f>206+27</f>
        <v>233</v>
      </c>
      <c r="CL21" s="54">
        <f>672+26</f>
        <v>698</v>
      </c>
      <c r="CM21" s="54">
        <f>1085+37</f>
        <v>1122</v>
      </c>
      <c r="CN21" s="54">
        <f>1147+17</f>
        <v>1164</v>
      </c>
      <c r="CO21" s="54">
        <f>1026+10</f>
        <v>1036</v>
      </c>
      <c r="CP21" s="54">
        <v>934</v>
      </c>
      <c r="CQ21" s="54">
        <v>976</v>
      </c>
      <c r="CR21" s="55"/>
      <c r="CS21" s="55"/>
      <c r="CT21" s="55"/>
      <c r="CU21" s="55"/>
      <c r="CV21" s="55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55">
        <v>0.82</v>
      </c>
      <c r="DO21" s="55">
        <v>0.6153846153846154</v>
      </c>
      <c r="DP21" s="55">
        <v>0.7645348837209303</v>
      </c>
      <c r="DQ21" s="55">
        <v>0.5</v>
      </c>
      <c r="DR21" s="55">
        <v>0.6521739130434783</v>
      </c>
      <c r="DS21" s="55">
        <v>0.54</v>
      </c>
      <c r="DT21" s="55">
        <v>0.63</v>
      </c>
      <c r="DU21" s="55">
        <v>0.18</v>
      </c>
      <c r="DV21" s="55">
        <v>0.73</v>
      </c>
      <c r="DW21" s="93">
        <v>0.5</v>
      </c>
      <c r="DX21" s="93">
        <v>0.78</v>
      </c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12.75">
      <c r="A22" s="47" t="s">
        <v>28</v>
      </c>
      <c r="B22" s="9" t="s">
        <v>204</v>
      </c>
      <c r="C22" s="39" t="s">
        <v>7</v>
      </c>
      <c r="D22" s="39">
        <v>5071700019</v>
      </c>
      <c r="E22" s="39">
        <v>551100030</v>
      </c>
      <c r="F22" s="26" t="s">
        <v>308</v>
      </c>
      <c r="G22" s="10" t="s">
        <v>318</v>
      </c>
      <c r="H22" s="10" t="s">
        <v>67</v>
      </c>
      <c r="I22" s="10" t="s">
        <v>163</v>
      </c>
      <c r="J22" s="10" t="s">
        <v>169</v>
      </c>
      <c r="K22" s="61">
        <v>1</v>
      </c>
      <c r="L22" s="75" t="s">
        <v>22</v>
      </c>
      <c r="M22" s="62" t="s">
        <v>21</v>
      </c>
      <c r="N22" s="62"/>
      <c r="O22" s="76"/>
      <c r="P22" s="76"/>
      <c r="Q22" s="76"/>
      <c r="R22" s="76"/>
      <c r="S22" s="76"/>
      <c r="T22" s="76"/>
      <c r="U22" s="60">
        <v>0.122</v>
      </c>
      <c r="V22" s="60">
        <v>0.2308</v>
      </c>
      <c r="W22" s="60">
        <v>0.0313</v>
      </c>
      <c r="X22" s="62">
        <v>0.23399999999999999</v>
      </c>
      <c r="Y22" s="62">
        <v>0.08</v>
      </c>
      <c r="Z22" s="62">
        <v>0.1458</v>
      </c>
      <c r="AA22" s="62">
        <v>0.375</v>
      </c>
      <c r="AB22" s="62">
        <v>0.5185</v>
      </c>
      <c r="AC22" s="62">
        <v>0.1333</v>
      </c>
      <c r="AD22" s="62">
        <v>0.3846</v>
      </c>
      <c r="AE22" s="62">
        <v>0.2727</v>
      </c>
      <c r="AF22" s="62">
        <v>0.4</v>
      </c>
      <c r="AG22" s="84"/>
      <c r="AH22" s="62">
        <v>0</v>
      </c>
      <c r="AI22" s="62">
        <v>0.4444444444444444</v>
      </c>
      <c r="AJ22" s="62">
        <v>1</v>
      </c>
      <c r="AK22" s="85">
        <v>0.8</v>
      </c>
      <c r="AL22" s="62">
        <v>0.2927</v>
      </c>
      <c r="AM22" s="62">
        <v>0.5455</v>
      </c>
      <c r="AN22" s="62">
        <v>0.5769</v>
      </c>
      <c r="AO22" s="86"/>
      <c r="AP22" s="81">
        <v>0.5</v>
      </c>
      <c r="AQ22" s="81">
        <v>0.5</v>
      </c>
      <c r="AR22" s="81">
        <v>0.15625</v>
      </c>
      <c r="AS22" s="81">
        <v>0.3076923076923077</v>
      </c>
      <c r="AT22" s="81">
        <v>0.5151515151515151</v>
      </c>
      <c r="AU22" s="81">
        <v>0.2222222222222222</v>
      </c>
      <c r="AV22" s="81">
        <v>0.34285714285714286</v>
      </c>
      <c r="AW22" s="81">
        <v>0.2593</v>
      </c>
      <c r="AX22" s="81">
        <v>0.4211</v>
      </c>
      <c r="AY22" s="81">
        <v>0.2593</v>
      </c>
      <c r="AZ22" s="81">
        <v>0.427</v>
      </c>
      <c r="BA22" s="81">
        <v>0.3548387096774194</v>
      </c>
      <c r="BB22" s="81">
        <v>0.2941</v>
      </c>
      <c r="BC22" s="60"/>
      <c r="BD22" s="60"/>
      <c r="BE22" s="60"/>
      <c r="BF22" s="60">
        <f>AVERAGE(U22:V22)</f>
        <v>0.1764</v>
      </c>
      <c r="BG22" s="62">
        <f>AVERAGE(W22:X22)</f>
        <v>0.13265</v>
      </c>
      <c r="BH22" s="62">
        <f>(Z22+Y22)/2</f>
        <v>0.1129</v>
      </c>
      <c r="BI22" s="62">
        <f>AVERAGE(AA22:AB22)</f>
        <v>0.44675</v>
      </c>
      <c r="BJ22" s="62">
        <f>AVERAGE(AC22:AD22)</f>
        <v>0.25895</v>
      </c>
      <c r="BK22" s="62">
        <f>AVERAGE(AE22:AF22)</f>
        <v>0.33635000000000004</v>
      </c>
      <c r="BL22" s="62">
        <f>AVERAGE(AG22:AH22)</f>
        <v>0</v>
      </c>
      <c r="BM22" s="62">
        <f>AVERAGE(AI22:AJ22)</f>
        <v>0.7222222222222222</v>
      </c>
      <c r="BN22" s="62">
        <f>AVERAGE(AK22:AL22)</f>
        <v>0.54635</v>
      </c>
      <c r="BO22" s="62">
        <f aca="true" t="shared" si="5" ref="BO22:BT22">AVERAGE(AM22:AN22)</f>
        <v>0.5611999999999999</v>
      </c>
      <c r="BP22" s="62">
        <f t="shared" si="5"/>
        <v>0.5769</v>
      </c>
      <c r="BQ22" s="62">
        <f t="shared" si="5"/>
        <v>0.5</v>
      </c>
      <c r="BR22" s="62">
        <f t="shared" si="5"/>
        <v>0.5</v>
      </c>
      <c r="BS22" s="62">
        <f t="shared" si="5"/>
        <v>0.328125</v>
      </c>
      <c r="BT22" s="62">
        <f t="shared" si="5"/>
        <v>0.23197115384615385</v>
      </c>
      <c r="BU22" s="62">
        <f t="shared" si="3"/>
        <v>0.34314999999999996</v>
      </c>
      <c r="BV22" s="62">
        <f>AVERAGE(BA22:BB22)</f>
        <v>0.32446935483870964</v>
      </c>
      <c r="BW22" s="61">
        <v>161</v>
      </c>
      <c r="BX22" s="54">
        <v>178</v>
      </c>
      <c r="BY22" s="54">
        <v>193</v>
      </c>
      <c r="BZ22" s="54">
        <v>199</v>
      </c>
      <c r="CA22" s="54">
        <v>204</v>
      </c>
      <c r="CB22" s="54">
        <v>129</v>
      </c>
      <c r="CC22" s="54">
        <v>99</v>
      </c>
      <c r="CD22" s="44">
        <v>91</v>
      </c>
      <c r="CE22" s="54">
        <v>101</v>
      </c>
      <c r="CF22" s="54">
        <v>124</v>
      </c>
      <c r="CG22" s="54">
        <f>105+10</f>
        <v>115</v>
      </c>
      <c r="CH22" s="54">
        <f>126+11</f>
        <v>137</v>
      </c>
      <c r="CI22" s="54">
        <f>143+18</f>
        <v>161</v>
      </c>
      <c r="CJ22" s="54">
        <f>152+27</f>
        <v>179</v>
      </c>
      <c r="CK22" s="54">
        <f>202+31</f>
        <v>233</v>
      </c>
      <c r="CL22" s="54">
        <f>254+33</f>
        <v>287</v>
      </c>
      <c r="CM22" s="54">
        <f>278+22</f>
        <v>300</v>
      </c>
      <c r="CN22" s="54">
        <f>297+30</f>
        <v>327</v>
      </c>
      <c r="CO22" s="54">
        <f>294+26</f>
        <v>320</v>
      </c>
      <c r="CP22" s="54">
        <v>365</v>
      </c>
      <c r="CQ22" s="54">
        <v>328</v>
      </c>
      <c r="CR22" s="55">
        <v>0.7</v>
      </c>
      <c r="CS22" s="55">
        <v>0.67</v>
      </c>
      <c r="CT22" s="55">
        <v>0.7</v>
      </c>
      <c r="CU22" s="55">
        <v>0.46</v>
      </c>
      <c r="CV22" s="55">
        <v>0.6</v>
      </c>
      <c r="CW22" s="64">
        <v>0.6</v>
      </c>
      <c r="CX22" s="64">
        <v>0.78</v>
      </c>
      <c r="CY22" s="55">
        <v>0.22</v>
      </c>
      <c r="CZ22" s="55">
        <v>0.83</v>
      </c>
      <c r="DA22" s="55">
        <v>0.8</v>
      </c>
      <c r="DB22" s="55">
        <v>0.49</v>
      </c>
      <c r="DC22" s="55">
        <v>0.91</v>
      </c>
      <c r="DD22" s="55">
        <v>0.85</v>
      </c>
      <c r="DE22" s="66"/>
      <c r="DF22" s="55">
        <v>0.75</v>
      </c>
      <c r="DG22" s="55">
        <v>0.8</v>
      </c>
      <c r="DH22" s="55">
        <v>0.88</v>
      </c>
      <c r="DI22" s="55">
        <v>0.62</v>
      </c>
      <c r="DJ22" s="55">
        <v>0.55</v>
      </c>
      <c r="DK22" s="55">
        <v>0.7222222222222222</v>
      </c>
      <c r="DL22" s="55">
        <v>0.83</v>
      </c>
      <c r="DM22" s="55">
        <v>0.59</v>
      </c>
      <c r="DN22" s="55">
        <v>0.65</v>
      </c>
      <c r="DO22" s="55">
        <v>0.4642857142857143</v>
      </c>
      <c r="DP22" s="55">
        <v>0.8202247191011236</v>
      </c>
      <c r="DQ22" s="55">
        <v>0.6129032258064516</v>
      </c>
      <c r="DR22" s="55">
        <v>0.6470588235294118</v>
      </c>
      <c r="DS22" s="55">
        <v>0.69</v>
      </c>
      <c r="DT22" s="55">
        <v>0.65</v>
      </c>
      <c r="DU22" s="55">
        <v>0.78</v>
      </c>
      <c r="DV22" s="55">
        <v>0.74</v>
      </c>
      <c r="DW22" s="55">
        <v>0.76</v>
      </c>
      <c r="DX22" s="55">
        <v>0.83</v>
      </c>
      <c r="DY22" s="122"/>
      <c r="DZ22" s="122"/>
      <c r="EA22" s="124">
        <v>0.556</v>
      </c>
      <c r="EB22" s="124">
        <v>0.833</v>
      </c>
      <c r="EC22" s="122">
        <v>1</v>
      </c>
      <c r="ED22" s="122">
        <v>1</v>
      </c>
      <c r="EE22" s="124">
        <v>1</v>
      </c>
      <c r="EF22" s="124">
        <v>1</v>
      </c>
      <c r="EG22" s="122">
        <v>0.317</v>
      </c>
      <c r="EH22" s="122">
        <v>1</v>
      </c>
      <c r="EI22" s="124">
        <v>0.727</v>
      </c>
      <c r="EJ22" s="124">
        <v>0.889</v>
      </c>
      <c r="EK22" s="122">
        <v>0.692</v>
      </c>
      <c r="EL22" s="122">
        <v>0.9</v>
      </c>
      <c r="EM22" s="124">
        <v>0.5</v>
      </c>
      <c r="EN22" s="124">
        <v>0.667</v>
      </c>
      <c r="EO22" s="122">
        <v>0.6</v>
      </c>
      <c r="EP22" s="122">
        <v>0.857</v>
      </c>
      <c r="EQ22" s="124">
        <v>0.688</v>
      </c>
      <c r="ER22" s="124">
        <v>1</v>
      </c>
      <c r="ES22" s="122">
        <v>0.308</v>
      </c>
      <c r="ET22" s="122">
        <v>1</v>
      </c>
      <c r="EU22" s="123">
        <v>0.406</v>
      </c>
      <c r="EV22" s="123">
        <v>0.722</v>
      </c>
      <c r="EW22" s="122">
        <v>0.278</v>
      </c>
      <c r="EX22" s="122">
        <v>0.714</v>
      </c>
      <c r="EY22" s="124">
        <v>0.314</v>
      </c>
      <c r="EZ22" s="124">
        <v>0.458</v>
      </c>
      <c r="FA22" s="122">
        <v>0.111</v>
      </c>
      <c r="FB22" s="122">
        <v>0.273</v>
      </c>
      <c r="FC22" s="124">
        <v>0.193</v>
      </c>
      <c r="FD22" s="124">
        <v>0.407</v>
      </c>
      <c r="FE22" s="122">
        <v>0.111</v>
      </c>
      <c r="FF22" s="122">
        <v>0.3</v>
      </c>
      <c r="FG22" s="124">
        <v>0.112</v>
      </c>
      <c r="FH22" s="124">
        <v>0.192</v>
      </c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12.75">
      <c r="A23" s="47" t="s">
        <v>28</v>
      </c>
      <c r="B23" s="9" t="s">
        <v>204</v>
      </c>
      <c r="C23" s="39" t="s">
        <v>7</v>
      </c>
      <c r="D23" s="39"/>
      <c r="E23" s="39"/>
      <c r="F23" s="26" t="s">
        <v>404</v>
      </c>
      <c r="G23" s="10" t="s">
        <v>321</v>
      </c>
      <c r="H23" s="10"/>
      <c r="I23" s="10"/>
      <c r="J23" s="10"/>
      <c r="K23" s="61"/>
      <c r="L23" s="75"/>
      <c r="M23" s="62"/>
      <c r="N23" s="62"/>
      <c r="O23" s="76"/>
      <c r="P23" s="76"/>
      <c r="Q23" s="76"/>
      <c r="R23" s="76"/>
      <c r="S23" s="76"/>
      <c r="T23" s="76"/>
      <c r="U23" s="60"/>
      <c r="V23" s="60"/>
      <c r="W23" s="60"/>
      <c r="X23" s="62"/>
      <c r="Y23" s="62"/>
      <c r="Z23" s="62"/>
      <c r="AA23" s="62"/>
      <c r="AB23" s="62"/>
      <c r="AC23" s="62"/>
      <c r="AD23" s="62"/>
      <c r="AE23" s="62"/>
      <c r="AF23" s="62"/>
      <c r="AG23" s="84"/>
      <c r="AH23" s="62"/>
      <c r="AI23" s="62"/>
      <c r="AJ23" s="62"/>
      <c r="AK23" s="85"/>
      <c r="AL23" s="62"/>
      <c r="AM23" s="62"/>
      <c r="AN23" s="62"/>
      <c r="AO23" s="86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60"/>
      <c r="BD23" s="60"/>
      <c r="BE23" s="60"/>
      <c r="BF23" s="60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1"/>
      <c r="BX23" s="54"/>
      <c r="BY23" s="54"/>
      <c r="BZ23" s="54"/>
      <c r="CA23" s="54"/>
      <c r="CB23" s="54"/>
      <c r="CC23" s="54"/>
      <c r="CD23" s="4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>
        <v>11</v>
      </c>
      <c r="CP23" s="54">
        <v>16</v>
      </c>
      <c r="CQ23" s="54">
        <v>2</v>
      </c>
      <c r="CR23" s="55"/>
      <c r="CS23" s="55"/>
      <c r="CT23" s="55"/>
      <c r="CU23" s="55"/>
      <c r="CV23" s="55"/>
      <c r="CW23" s="64"/>
      <c r="CX23" s="64"/>
      <c r="CY23" s="55"/>
      <c r="CZ23" s="55"/>
      <c r="DA23" s="55"/>
      <c r="DB23" s="55"/>
      <c r="DC23" s="55"/>
      <c r="DD23" s="55"/>
      <c r="DE23" s="66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122"/>
      <c r="DZ23" s="122"/>
      <c r="EA23" s="124"/>
      <c r="EB23" s="124"/>
      <c r="EC23" s="122"/>
      <c r="ED23" s="122"/>
      <c r="EE23" s="124"/>
      <c r="EF23" s="124"/>
      <c r="EG23" s="122"/>
      <c r="EH23" s="122"/>
      <c r="EI23" s="124"/>
      <c r="EJ23" s="124"/>
      <c r="EK23" s="122"/>
      <c r="EL23" s="122"/>
      <c r="EM23" s="124"/>
      <c r="EN23" s="124"/>
      <c r="EO23" s="122"/>
      <c r="EP23" s="122"/>
      <c r="EQ23" s="124"/>
      <c r="ER23" s="124"/>
      <c r="ES23" s="122"/>
      <c r="ET23" s="122"/>
      <c r="EU23" s="123"/>
      <c r="EV23" s="123"/>
      <c r="EW23" s="122"/>
      <c r="EX23" s="122"/>
      <c r="EY23" s="124"/>
      <c r="EZ23" s="124"/>
      <c r="FA23" s="122"/>
      <c r="FB23" s="122"/>
      <c r="FC23" s="124"/>
      <c r="FD23" s="124"/>
      <c r="FE23" s="122"/>
      <c r="FF23" s="122"/>
      <c r="FG23" s="124"/>
      <c r="FH23" s="124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12.75">
      <c r="A24" s="47" t="s">
        <v>28</v>
      </c>
      <c r="B24" s="9" t="s">
        <v>204</v>
      </c>
      <c r="C24" s="39" t="s">
        <v>7</v>
      </c>
      <c r="D24" s="39">
        <v>5071100025</v>
      </c>
      <c r="E24" s="39">
        <v>551100118</v>
      </c>
      <c r="F24" s="26" t="s">
        <v>338</v>
      </c>
      <c r="G24" s="10" t="s">
        <v>318</v>
      </c>
      <c r="H24" s="10" t="s">
        <v>67</v>
      </c>
      <c r="I24" s="10" t="s">
        <v>163</v>
      </c>
      <c r="J24" s="10" t="s">
        <v>169</v>
      </c>
      <c r="K24" s="61"/>
      <c r="L24" s="75"/>
      <c r="M24" s="83"/>
      <c r="N24" s="62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7"/>
      <c r="AL24" s="76"/>
      <c r="AM24" s="76"/>
      <c r="AN24" s="76"/>
      <c r="AO24" s="76"/>
      <c r="AP24" s="76"/>
      <c r="AQ24" s="76"/>
      <c r="AR24" s="81">
        <v>0.2608695652173913</v>
      </c>
      <c r="AS24" s="81">
        <v>0</v>
      </c>
      <c r="AT24" s="81">
        <v>0.18181818181818182</v>
      </c>
      <c r="AU24" s="81">
        <v>0</v>
      </c>
      <c r="AV24" s="81">
        <v>0.08</v>
      </c>
      <c r="AW24" s="81">
        <v>0.3846</v>
      </c>
      <c r="AX24" s="81">
        <v>0.3158</v>
      </c>
      <c r="AY24" s="81">
        <v>0.2143</v>
      </c>
      <c r="AZ24" s="81">
        <v>0.3438</v>
      </c>
      <c r="BA24" s="81">
        <v>0.45454545454545453</v>
      </c>
      <c r="BB24" s="81">
        <v>0.4</v>
      </c>
      <c r="BC24" s="50"/>
      <c r="BD24" s="50"/>
      <c r="BE24" s="60"/>
      <c r="BF24" s="60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>
        <f>AVERAGE(AQ24:AR24)</f>
        <v>0.2608695652173913</v>
      </c>
      <c r="BT24" s="62">
        <f>AVERAGE(AR24:AS24)</f>
        <v>0.13043478260869565</v>
      </c>
      <c r="BU24" s="62">
        <f>AVERAGE(AY24:AZ24)</f>
        <v>0.27905</v>
      </c>
      <c r="BV24" s="62">
        <f>AVERAGE(BA24:BB24)</f>
        <v>0.42727272727272725</v>
      </c>
      <c r="BW24" s="78"/>
      <c r="BX24" s="78"/>
      <c r="BY24" s="78"/>
      <c r="BZ24" s="78"/>
      <c r="CA24" s="78"/>
      <c r="CB24" s="78"/>
      <c r="CC24" s="78"/>
      <c r="CD24" s="78"/>
      <c r="CE24" s="78"/>
      <c r="CF24" s="54"/>
      <c r="CG24" s="54"/>
      <c r="CH24" s="54">
        <f>24+10</f>
        <v>34</v>
      </c>
      <c r="CI24" s="54">
        <f>46+5</f>
        <v>51</v>
      </c>
      <c r="CJ24" s="54">
        <f>68+13</f>
        <v>81</v>
      </c>
      <c r="CK24" s="54">
        <f>95+14</f>
        <v>109</v>
      </c>
      <c r="CL24" s="54">
        <f>107+13</f>
        <v>120</v>
      </c>
      <c r="CM24" s="54">
        <f>140+24</f>
        <v>164</v>
      </c>
      <c r="CN24" s="54">
        <f>166+20</f>
        <v>186</v>
      </c>
      <c r="CO24" s="54">
        <f>194+15</f>
        <v>209</v>
      </c>
      <c r="CP24" s="54">
        <v>217</v>
      </c>
      <c r="CQ24" s="54">
        <v>225</v>
      </c>
      <c r="CR24" s="55"/>
      <c r="CS24" s="55"/>
      <c r="CT24" s="55"/>
      <c r="CU24" s="55"/>
      <c r="CV24" s="55"/>
      <c r="CW24" s="64"/>
      <c r="CX24" s="64"/>
      <c r="CY24" s="55"/>
      <c r="CZ24" s="55"/>
      <c r="DA24" s="55"/>
      <c r="DB24" s="55"/>
      <c r="DC24" s="55"/>
      <c r="DD24" s="55"/>
      <c r="DE24" s="55"/>
      <c r="DF24" s="55"/>
      <c r="DG24" s="66"/>
      <c r="DH24" s="55">
        <v>0.78</v>
      </c>
      <c r="DI24" s="55">
        <v>0.78</v>
      </c>
      <c r="DJ24" s="55">
        <v>0.68</v>
      </c>
      <c r="DK24" s="55">
        <v>0.75</v>
      </c>
      <c r="DL24" s="55">
        <v>0.72</v>
      </c>
      <c r="DM24" s="55">
        <v>0.77</v>
      </c>
      <c r="DN24" s="55">
        <v>0.53</v>
      </c>
      <c r="DO24" s="55">
        <v>0.5714285714285714</v>
      </c>
      <c r="DP24" s="55">
        <v>0.78125</v>
      </c>
      <c r="DQ24" s="55">
        <v>1</v>
      </c>
      <c r="DR24" s="55">
        <v>0.6285714285714286</v>
      </c>
      <c r="DS24" s="55">
        <v>0.63</v>
      </c>
      <c r="DT24" s="55">
        <v>0.79</v>
      </c>
      <c r="DU24" s="55">
        <v>0.71</v>
      </c>
      <c r="DV24" s="55">
        <v>0.7</v>
      </c>
      <c r="DW24" s="55">
        <v>0.5833333333333334</v>
      </c>
      <c r="DX24" s="55">
        <v>0.79</v>
      </c>
      <c r="DY24" s="122" t="s">
        <v>211</v>
      </c>
      <c r="DZ24" s="122" t="s">
        <v>211</v>
      </c>
      <c r="EA24" s="124" t="s">
        <v>211</v>
      </c>
      <c r="EB24" s="124" t="s">
        <v>211</v>
      </c>
      <c r="EC24" s="122" t="s">
        <v>211</v>
      </c>
      <c r="ED24" s="122" t="s">
        <v>211</v>
      </c>
      <c r="EE24" s="124" t="s">
        <v>211</v>
      </c>
      <c r="EF24" s="124" t="s">
        <v>211</v>
      </c>
      <c r="EG24" s="122" t="s">
        <v>211</v>
      </c>
      <c r="EH24" s="122" t="s">
        <v>211</v>
      </c>
      <c r="EI24" s="124" t="s">
        <v>211</v>
      </c>
      <c r="EJ24" s="124" t="s">
        <v>211</v>
      </c>
      <c r="EK24" s="122" t="s">
        <v>211</v>
      </c>
      <c r="EL24" s="122" t="s">
        <v>211</v>
      </c>
      <c r="EM24" s="124" t="s">
        <v>211</v>
      </c>
      <c r="EN24" s="124" t="s">
        <v>211</v>
      </c>
      <c r="EO24" s="122" t="s">
        <v>211</v>
      </c>
      <c r="EP24" s="122" t="s">
        <v>211</v>
      </c>
      <c r="EQ24" s="123">
        <v>0.391</v>
      </c>
      <c r="ER24" s="123">
        <v>1</v>
      </c>
      <c r="ES24" s="122">
        <v>0.222</v>
      </c>
      <c r="ET24" s="122">
        <v>0.667</v>
      </c>
      <c r="EU24" s="123">
        <v>0.409</v>
      </c>
      <c r="EV24" s="123">
        <v>0.818</v>
      </c>
      <c r="EW24" s="122">
        <v>0.25</v>
      </c>
      <c r="EX24" s="122">
        <v>0.5</v>
      </c>
      <c r="EY24" s="124">
        <v>0.56</v>
      </c>
      <c r="EZ24" s="124">
        <v>0.933</v>
      </c>
      <c r="FA24" s="122">
        <v>0.462</v>
      </c>
      <c r="FB24" s="122">
        <v>0.75</v>
      </c>
      <c r="FC24" s="124">
        <v>0.211</v>
      </c>
      <c r="FD24" s="124">
        <v>0.5</v>
      </c>
      <c r="FE24" s="122">
        <v>0.214</v>
      </c>
      <c r="FF24" s="122">
        <v>0.429</v>
      </c>
      <c r="FG24" s="124">
        <v>0.094</v>
      </c>
      <c r="FH24" s="124">
        <v>0.176</v>
      </c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2.75">
      <c r="A25" s="47" t="s">
        <v>28</v>
      </c>
      <c r="B25" s="9" t="s">
        <v>204</v>
      </c>
      <c r="C25" s="39" t="s">
        <v>11</v>
      </c>
      <c r="D25" s="39">
        <v>5041400026</v>
      </c>
      <c r="E25" s="39">
        <v>533400026</v>
      </c>
      <c r="F25" s="26" t="s">
        <v>339</v>
      </c>
      <c r="G25" s="10" t="s">
        <v>318</v>
      </c>
      <c r="H25" s="10" t="s">
        <v>65</v>
      </c>
      <c r="I25" s="10" t="s">
        <v>166</v>
      </c>
      <c r="J25" s="10" t="s">
        <v>172</v>
      </c>
      <c r="K25" s="61">
        <v>1</v>
      </c>
      <c r="L25" s="75" t="s">
        <v>22</v>
      </c>
      <c r="M25" s="62" t="s">
        <v>21</v>
      </c>
      <c r="N25" s="62"/>
      <c r="O25" s="76"/>
      <c r="P25" s="76"/>
      <c r="Q25" s="76"/>
      <c r="R25" s="76"/>
      <c r="S25" s="76"/>
      <c r="T25" s="76"/>
      <c r="U25" s="60">
        <v>0.2911</v>
      </c>
      <c r="V25" s="60">
        <v>0.4773</v>
      </c>
      <c r="W25" s="60">
        <v>0.3548387096774194</v>
      </c>
      <c r="X25" s="62">
        <v>0.24</v>
      </c>
      <c r="Y25" s="62">
        <v>0.4483</v>
      </c>
      <c r="Z25" s="62">
        <v>0.5094</v>
      </c>
      <c r="AA25" s="62">
        <v>0.2553191489361702</v>
      </c>
      <c r="AB25" s="62">
        <v>0.45</v>
      </c>
      <c r="AC25" s="62">
        <v>0.3429</v>
      </c>
      <c r="AD25" s="62">
        <v>0.4</v>
      </c>
      <c r="AE25" s="62">
        <v>0.3333</v>
      </c>
      <c r="AF25" s="62">
        <v>0.5641</v>
      </c>
      <c r="AG25" s="62">
        <v>0.8667</v>
      </c>
      <c r="AH25" s="62">
        <v>0.5313</v>
      </c>
      <c r="AI25" s="62">
        <v>0.7</v>
      </c>
      <c r="AJ25" s="62">
        <v>0.5333333333333333</v>
      </c>
      <c r="AK25" s="80">
        <v>0.2</v>
      </c>
      <c r="AL25" s="62">
        <v>0.5294</v>
      </c>
      <c r="AM25" s="62">
        <v>0.6667</v>
      </c>
      <c r="AN25" s="62">
        <v>0.7</v>
      </c>
      <c r="AO25" s="62">
        <v>0.6363636363636364</v>
      </c>
      <c r="AP25" s="81">
        <v>0.5</v>
      </c>
      <c r="AQ25" s="81">
        <v>0.36363636363636365</v>
      </c>
      <c r="AR25" s="81">
        <v>0.4878048780487805</v>
      </c>
      <c r="AS25" s="81">
        <v>0.42857142857142855</v>
      </c>
      <c r="AT25" s="81">
        <v>0.6896551724137931</v>
      </c>
      <c r="AU25" s="81">
        <v>0.5384615384615384</v>
      </c>
      <c r="AV25" s="81">
        <v>0.42857142857142855</v>
      </c>
      <c r="AW25" s="81">
        <v>0.5385</v>
      </c>
      <c r="AX25" s="81">
        <v>0.6538</v>
      </c>
      <c r="AY25" s="81">
        <v>0.6364</v>
      </c>
      <c r="AZ25" s="81">
        <v>0.4242</v>
      </c>
      <c r="BA25" s="81">
        <v>0.3125</v>
      </c>
      <c r="BB25" s="81">
        <v>0.3333</v>
      </c>
      <c r="BC25" s="60"/>
      <c r="BD25" s="60"/>
      <c r="BE25" s="60"/>
      <c r="BF25" s="60">
        <f>AVERAGE(U25:U25)</f>
        <v>0.2911</v>
      </c>
      <c r="BG25" s="62">
        <f>AVERAGE(V25:X25)</f>
        <v>0.3573795698924731</v>
      </c>
      <c r="BH25" s="62">
        <f>(Z25+Y25)/2</f>
        <v>0.47885</v>
      </c>
      <c r="BI25" s="62">
        <f>AVERAGE(AA25:AB25)</f>
        <v>0.3526595744680851</v>
      </c>
      <c r="BJ25" s="62">
        <f>AVERAGE(AC25:AD25)</f>
        <v>0.37145</v>
      </c>
      <c r="BK25" s="62">
        <f>AVERAGE(AE25:AF25)</f>
        <v>0.4487</v>
      </c>
      <c r="BL25" s="62">
        <f>AVERAGE(AG25:AH25)</f>
        <v>0.6990000000000001</v>
      </c>
      <c r="BM25" s="62">
        <f>AVERAGE(AI25:AJ25)</f>
        <v>0.6166666666666667</v>
      </c>
      <c r="BN25" s="62">
        <f>AVERAGE(AK25:AL25)</f>
        <v>0.3647</v>
      </c>
      <c r="BO25" s="62">
        <f>AVERAGE(AM25:AN25)</f>
        <v>0.6833499999999999</v>
      </c>
      <c r="BP25" s="62">
        <f>AVERAGE(AN25:AO25)</f>
        <v>0.6681818181818182</v>
      </c>
      <c r="BQ25" s="62">
        <f>AVERAGE(AO25:AP25)</f>
        <v>0.5681818181818181</v>
      </c>
      <c r="BR25" s="62">
        <f>AVERAGE(AP25:AQ25)</f>
        <v>0.4318181818181818</v>
      </c>
      <c r="BS25" s="62">
        <f>AVERAGE(AQ25:AR25)</f>
        <v>0.42572062084257206</v>
      </c>
      <c r="BT25" s="62">
        <f>AVERAGE(AR25:AS25)</f>
        <v>0.45818815331010454</v>
      </c>
      <c r="BU25" s="62">
        <f>AVERAGE(AY25:AZ25)</f>
        <v>0.5303</v>
      </c>
      <c r="BV25" s="62">
        <f>AVERAGE(BA25:BB25)</f>
        <v>0.32289999999999996</v>
      </c>
      <c r="BW25" s="61">
        <v>137</v>
      </c>
      <c r="BX25" s="54">
        <v>189</v>
      </c>
      <c r="BY25" s="54">
        <v>239</v>
      </c>
      <c r="BZ25" s="54">
        <v>267</v>
      </c>
      <c r="CA25" s="54">
        <v>313</v>
      </c>
      <c r="CB25" s="54">
        <v>263</v>
      </c>
      <c r="CC25" s="54">
        <v>227</v>
      </c>
      <c r="CD25" s="44">
        <v>188</v>
      </c>
      <c r="CE25" s="54">
        <v>195</v>
      </c>
      <c r="CF25" s="54">
        <v>179</v>
      </c>
      <c r="CG25" s="54">
        <f>137+11</f>
        <v>148</v>
      </c>
      <c r="CH25" s="54">
        <f>147+13</f>
        <v>160</v>
      </c>
      <c r="CI25" s="54">
        <f>158+13</f>
        <v>171</v>
      </c>
      <c r="CJ25" s="54">
        <f>148+13</f>
        <v>161</v>
      </c>
      <c r="CK25" s="54">
        <f>142+13</f>
        <v>155</v>
      </c>
      <c r="CL25" s="54">
        <f>156+16</f>
        <v>172</v>
      </c>
      <c r="CM25" s="54">
        <f>149+15</f>
        <v>164</v>
      </c>
      <c r="CN25" s="54">
        <f>152+11</f>
        <v>163</v>
      </c>
      <c r="CO25" s="54">
        <f>172+29</f>
        <v>201</v>
      </c>
      <c r="CP25" s="54">
        <v>259</v>
      </c>
      <c r="CQ25" s="54">
        <v>250</v>
      </c>
      <c r="CR25" s="55">
        <v>0.74</v>
      </c>
      <c r="CS25" s="55">
        <v>0.74</v>
      </c>
      <c r="CT25" s="55">
        <v>0.65</v>
      </c>
      <c r="CU25" s="55">
        <v>0.82</v>
      </c>
      <c r="CV25" s="55">
        <v>0.79</v>
      </c>
      <c r="CW25" s="64">
        <v>1</v>
      </c>
      <c r="CX25" s="64">
        <v>0.78</v>
      </c>
      <c r="CY25" s="55">
        <v>1</v>
      </c>
      <c r="CZ25" s="55">
        <v>0.8</v>
      </c>
      <c r="DA25" s="55">
        <v>0.6</v>
      </c>
      <c r="DB25" s="55">
        <v>0.71</v>
      </c>
      <c r="DC25" s="55">
        <v>0.78</v>
      </c>
      <c r="DD25" s="55">
        <v>0.77</v>
      </c>
      <c r="DE25" s="55">
        <v>0.64</v>
      </c>
      <c r="DF25" s="55">
        <v>0.55</v>
      </c>
      <c r="DG25" s="55">
        <v>0.73</v>
      </c>
      <c r="DH25" s="55">
        <v>0.76</v>
      </c>
      <c r="DI25" s="55">
        <v>0.64</v>
      </c>
      <c r="DJ25" s="55">
        <v>0.79</v>
      </c>
      <c r="DK25" s="55">
        <v>0.6923076923076923</v>
      </c>
      <c r="DL25" s="55">
        <v>0.68</v>
      </c>
      <c r="DM25" s="55">
        <v>0.77</v>
      </c>
      <c r="DN25" s="55">
        <v>0.81</v>
      </c>
      <c r="DO25" s="55">
        <v>0.8181818181818182</v>
      </c>
      <c r="DP25" s="55">
        <v>0.696969696969697</v>
      </c>
      <c r="DQ25" s="55">
        <v>0.6875</v>
      </c>
      <c r="DR25" s="55">
        <v>0.6896551724137931</v>
      </c>
      <c r="DS25" s="55">
        <v>0.53</v>
      </c>
      <c r="DT25" s="55">
        <v>0.59</v>
      </c>
      <c r="DU25" s="55">
        <v>0.44</v>
      </c>
      <c r="DV25" s="55">
        <v>0.79</v>
      </c>
      <c r="DW25" s="55">
        <v>0.6785714285714286</v>
      </c>
      <c r="DX25" s="55">
        <v>0.83</v>
      </c>
      <c r="DY25" s="122">
        <v>0.8</v>
      </c>
      <c r="DZ25" s="122">
        <v>1</v>
      </c>
      <c r="EA25" s="124">
        <v>0.6</v>
      </c>
      <c r="EB25" s="124">
        <v>0.947</v>
      </c>
      <c r="EC25" s="122">
        <v>0.2</v>
      </c>
      <c r="ED25" s="122">
        <v>1</v>
      </c>
      <c r="EE25" s="124">
        <v>0.529</v>
      </c>
      <c r="EF25" s="124">
        <v>1</v>
      </c>
      <c r="EG25" s="122">
        <v>0.667</v>
      </c>
      <c r="EH25" s="122">
        <v>0.923</v>
      </c>
      <c r="EI25" s="124">
        <v>0.6</v>
      </c>
      <c r="EJ25" s="124">
        <v>0.857</v>
      </c>
      <c r="EK25" s="122">
        <v>0.636</v>
      </c>
      <c r="EL25" s="122">
        <v>1</v>
      </c>
      <c r="EM25" s="124">
        <v>0.455</v>
      </c>
      <c r="EN25" s="124">
        <v>0.909</v>
      </c>
      <c r="EO25" s="122">
        <v>0.273</v>
      </c>
      <c r="EP25" s="122">
        <v>0.75</v>
      </c>
      <c r="EQ25" s="124">
        <v>0.537</v>
      </c>
      <c r="ER25" s="124">
        <v>0.917</v>
      </c>
      <c r="ES25" s="122">
        <v>0.5</v>
      </c>
      <c r="ET25" s="122">
        <v>1</v>
      </c>
      <c r="EU25" s="123">
        <v>0.69</v>
      </c>
      <c r="EV25" s="123">
        <v>1</v>
      </c>
      <c r="EW25" s="122">
        <v>0.462</v>
      </c>
      <c r="EX25" s="122">
        <v>0.667</v>
      </c>
      <c r="EY25" s="123">
        <v>0.207</v>
      </c>
      <c r="EZ25" s="123">
        <v>0.4</v>
      </c>
      <c r="FA25" s="122">
        <v>0.538</v>
      </c>
      <c r="FB25" s="122">
        <v>0.636</v>
      </c>
      <c r="FC25" s="123">
        <v>0.538</v>
      </c>
      <c r="FD25" s="123">
        <v>0.824</v>
      </c>
      <c r="FE25" s="122">
        <v>0.273</v>
      </c>
      <c r="FF25" s="122">
        <v>0.429</v>
      </c>
      <c r="FG25" s="123">
        <v>0.03</v>
      </c>
      <c r="FH25" s="123">
        <v>0.053</v>
      </c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2.75">
      <c r="A26" s="47" t="s">
        <v>28</v>
      </c>
      <c r="B26" s="9" t="s">
        <v>204</v>
      </c>
      <c r="C26" s="38" t="s">
        <v>10</v>
      </c>
      <c r="D26" s="38"/>
      <c r="E26" s="38"/>
      <c r="F26" s="33" t="s">
        <v>340</v>
      </c>
      <c r="G26" s="10" t="s">
        <v>322</v>
      </c>
      <c r="H26" s="26" t="s">
        <v>64</v>
      </c>
      <c r="I26" s="26" t="s">
        <v>166</v>
      </c>
      <c r="J26" s="26" t="s">
        <v>172</v>
      </c>
      <c r="K26" s="61"/>
      <c r="L26" s="75"/>
      <c r="M26" s="62"/>
      <c r="N26" s="62"/>
      <c r="O26" s="87"/>
      <c r="P26" s="87"/>
      <c r="Q26" s="87"/>
      <c r="R26" s="87"/>
      <c r="S26" s="87"/>
      <c r="T26" s="87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50"/>
      <c r="BD26" s="50"/>
      <c r="BE26" s="50"/>
      <c r="BF26" s="50"/>
      <c r="BG26" s="54"/>
      <c r="BH26" s="54"/>
      <c r="BI26" s="54"/>
      <c r="BJ26" s="54"/>
      <c r="BK26" s="54"/>
      <c r="BL26" s="54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54"/>
      <c r="BX26" s="54">
        <v>31</v>
      </c>
      <c r="BY26" s="54">
        <v>60</v>
      </c>
      <c r="BZ26" s="54">
        <v>80</v>
      </c>
      <c r="CA26" s="54">
        <v>87</v>
      </c>
      <c r="CB26" s="54">
        <v>92</v>
      </c>
      <c r="CC26" s="54">
        <v>92</v>
      </c>
      <c r="CD26" s="44">
        <v>82</v>
      </c>
      <c r="CE26" s="54">
        <v>66</v>
      </c>
      <c r="CF26" s="54">
        <v>30</v>
      </c>
      <c r="CG26" s="54">
        <v>0</v>
      </c>
      <c r="CH26" s="54">
        <v>0</v>
      </c>
      <c r="CI26" s="54"/>
      <c r="CJ26" s="54"/>
      <c r="CK26" s="54"/>
      <c r="CL26" s="127"/>
      <c r="CM26" s="127"/>
      <c r="CN26" s="127">
        <v>0</v>
      </c>
      <c r="CO26" s="127"/>
      <c r="CP26" s="127"/>
      <c r="CQ26" s="127"/>
      <c r="CR26" s="55">
        <v>0.92</v>
      </c>
      <c r="CS26" s="55">
        <v>0.82</v>
      </c>
      <c r="CT26" s="55">
        <v>0.81</v>
      </c>
      <c r="CU26" s="55">
        <v>0.91</v>
      </c>
      <c r="CV26" s="55">
        <v>0.86</v>
      </c>
      <c r="CW26" s="64">
        <v>0.91</v>
      </c>
      <c r="CX26" s="64">
        <v>0.77</v>
      </c>
      <c r="CY26" s="55">
        <v>0.74</v>
      </c>
      <c r="CZ26" s="55">
        <v>0.71</v>
      </c>
      <c r="DA26" s="55">
        <v>0.6</v>
      </c>
      <c r="DB26" s="55">
        <v>0.73</v>
      </c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128" t="s">
        <v>206</v>
      </c>
      <c r="EJ26" s="128" t="s">
        <v>206</v>
      </c>
      <c r="EK26" s="120" t="s">
        <v>211</v>
      </c>
      <c r="EL26" s="120" t="s">
        <v>211</v>
      </c>
      <c r="EM26" s="50"/>
      <c r="EN26" s="50"/>
      <c r="EO26" s="50"/>
      <c r="EP26" s="50"/>
      <c r="EQ26" s="123" t="s">
        <v>211</v>
      </c>
      <c r="ER26" s="123" t="s">
        <v>211</v>
      </c>
      <c r="ES26" s="122" t="s">
        <v>211</v>
      </c>
      <c r="ET26" s="122" t="s">
        <v>211</v>
      </c>
      <c r="EU26" s="123" t="s">
        <v>211</v>
      </c>
      <c r="EV26" s="123" t="s">
        <v>211</v>
      </c>
      <c r="EW26" s="122" t="s">
        <v>211</v>
      </c>
      <c r="EX26" s="122" t="s">
        <v>211</v>
      </c>
      <c r="EY26" s="123" t="s">
        <v>211</v>
      </c>
      <c r="EZ26" s="123" t="s">
        <v>211</v>
      </c>
      <c r="FA26" s="122" t="s">
        <v>211</v>
      </c>
      <c r="FB26" s="122" t="s">
        <v>211</v>
      </c>
      <c r="FC26" s="123" t="s">
        <v>211</v>
      </c>
      <c r="FD26" s="123" t="s">
        <v>211</v>
      </c>
      <c r="FE26" s="122"/>
      <c r="FF26" s="122"/>
      <c r="FG26" s="123"/>
      <c r="FH26" s="123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2.75">
      <c r="A27" s="47" t="s">
        <v>40</v>
      </c>
      <c r="B27" s="9" t="s">
        <v>205</v>
      </c>
      <c r="C27" s="39" t="s">
        <v>24</v>
      </c>
      <c r="D27" s="39" t="s">
        <v>282</v>
      </c>
      <c r="E27" s="39" t="s">
        <v>254</v>
      </c>
      <c r="F27" s="9" t="s">
        <v>25</v>
      </c>
      <c r="G27" s="9" t="s">
        <v>323</v>
      </c>
      <c r="H27" s="9" t="s">
        <v>61</v>
      </c>
      <c r="I27" s="9" t="s">
        <v>162</v>
      </c>
      <c r="J27" s="9" t="s">
        <v>174</v>
      </c>
      <c r="K27" s="79"/>
      <c r="L27" s="59"/>
      <c r="M27" s="60"/>
      <c r="N27" s="60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81">
        <v>0.7653061224489796</v>
      </c>
      <c r="AV27" s="76"/>
      <c r="AW27" s="81">
        <v>0.817</v>
      </c>
      <c r="AX27" s="76"/>
      <c r="AY27" s="81">
        <v>0.8279</v>
      </c>
      <c r="AZ27" s="76"/>
      <c r="BA27" s="81">
        <v>0.7868852459016393</v>
      </c>
      <c r="BB27" s="76"/>
      <c r="BC27" s="60"/>
      <c r="BD27" s="60"/>
      <c r="BE27" s="60"/>
      <c r="BF27" s="60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>
        <f>AVERAGE(AU27:AV27)</f>
        <v>0.7653061224489796</v>
      </c>
      <c r="BT27" s="62">
        <f>AVERAGE(AW27:AX27)</f>
        <v>0.817</v>
      </c>
      <c r="BU27" s="62">
        <f>AVERAGE(AY27:AZ27)</f>
        <v>0.8279</v>
      </c>
      <c r="BV27" s="62">
        <f>AVERAGE(BA27:BB27)</f>
        <v>0.7868852459016393</v>
      </c>
      <c r="BW27" s="54"/>
      <c r="BX27" s="54"/>
      <c r="BY27" s="54"/>
      <c r="BZ27" s="54"/>
      <c r="CA27" s="54"/>
      <c r="CB27" s="54"/>
      <c r="CC27" s="54"/>
      <c r="CD27" s="44"/>
      <c r="CE27" s="54"/>
      <c r="CF27" s="54"/>
      <c r="CG27" s="54"/>
      <c r="CH27" s="54"/>
      <c r="CI27" s="54"/>
      <c r="CJ27" s="54"/>
      <c r="CK27" s="54">
        <f>121+0</f>
        <v>121</v>
      </c>
      <c r="CL27" s="54">
        <f>239+0</f>
        <v>239</v>
      </c>
      <c r="CM27" s="54">
        <f>466+0</f>
        <v>466</v>
      </c>
      <c r="CN27" s="54">
        <f>611+0</f>
        <v>611</v>
      </c>
      <c r="CO27" s="54">
        <v>694</v>
      </c>
      <c r="CP27" s="54">
        <v>682</v>
      </c>
      <c r="CQ27" s="54">
        <v>684</v>
      </c>
      <c r="CR27" s="55"/>
      <c r="CS27" s="55"/>
      <c r="CT27" s="55"/>
      <c r="CU27" s="55"/>
      <c r="CV27" s="55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55">
        <v>0.79</v>
      </c>
      <c r="DO27" s="66"/>
      <c r="DP27" s="55">
        <v>0.9411764705882353</v>
      </c>
      <c r="DQ27" s="66"/>
      <c r="DR27" s="55">
        <v>0.9385245901639344</v>
      </c>
      <c r="DS27" s="66"/>
      <c r="DT27" s="55">
        <v>0.92</v>
      </c>
      <c r="DU27" s="66"/>
      <c r="DV27" s="55">
        <v>0.93</v>
      </c>
      <c r="DW27" s="55" t="s">
        <v>211</v>
      </c>
      <c r="DX27" s="55">
        <v>0.97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2.75">
      <c r="A28" s="47" t="s">
        <v>40</v>
      </c>
      <c r="B28" s="9" t="s">
        <v>205</v>
      </c>
      <c r="C28" s="39" t="s">
        <v>7</v>
      </c>
      <c r="D28" s="39">
        <v>5061300025</v>
      </c>
      <c r="E28" s="39">
        <v>544100087</v>
      </c>
      <c r="F28" s="34" t="s">
        <v>85</v>
      </c>
      <c r="G28" s="10" t="s">
        <v>318</v>
      </c>
      <c r="H28" s="10" t="s">
        <v>66</v>
      </c>
      <c r="I28" s="10" t="s">
        <v>175</v>
      </c>
      <c r="J28" s="10" t="s">
        <v>171</v>
      </c>
      <c r="K28" s="61"/>
      <c r="L28" s="75"/>
      <c r="M28" s="83"/>
      <c r="N28" s="62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62">
        <v>0.2817</v>
      </c>
      <c r="AC28" s="62">
        <v>0.15</v>
      </c>
      <c r="AD28" s="62">
        <v>0.2326</v>
      </c>
      <c r="AE28" s="62">
        <v>0.2</v>
      </c>
      <c r="AF28" s="62">
        <v>0.5946</v>
      </c>
      <c r="AG28" s="84"/>
      <c r="AH28" s="62">
        <v>0.6</v>
      </c>
      <c r="AI28" s="62">
        <v>0.4444444444444444</v>
      </c>
      <c r="AJ28" s="62">
        <v>0.38461538461538464</v>
      </c>
      <c r="AK28" s="80">
        <v>0.4167</v>
      </c>
      <c r="AL28" s="62">
        <v>0.6604</v>
      </c>
      <c r="AM28" s="62">
        <v>0.9</v>
      </c>
      <c r="AN28" s="62">
        <v>0.5227</v>
      </c>
      <c r="AO28" s="62">
        <v>0.35714285714285715</v>
      </c>
      <c r="AP28" s="81">
        <v>0.4333</v>
      </c>
      <c r="AQ28" s="81">
        <v>0.5555555555555556</v>
      </c>
      <c r="AR28" s="81">
        <v>0.18421052631578946</v>
      </c>
      <c r="AS28" s="81">
        <v>0.6470588235294118</v>
      </c>
      <c r="AT28" s="81">
        <v>0.42857142857142855</v>
      </c>
      <c r="AU28" s="76" t="s">
        <v>211</v>
      </c>
      <c r="AV28" s="76" t="s">
        <v>211</v>
      </c>
      <c r="AW28" s="76"/>
      <c r="AX28" s="76"/>
      <c r="AY28" s="76"/>
      <c r="AZ28" s="76"/>
      <c r="BA28" s="76"/>
      <c r="BB28" s="76"/>
      <c r="BC28" s="60"/>
      <c r="BD28" s="60"/>
      <c r="BE28" s="60"/>
      <c r="BF28" s="60"/>
      <c r="BG28" s="62"/>
      <c r="BH28" s="62"/>
      <c r="BI28" s="62">
        <f>AVERAGE(AA28:AB28)</f>
        <v>0.2817</v>
      </c>
      <c r="BJ28" s="62">
        <f>AVERAGE(AC28:AD28)</f>
        <v>0.1913</v>
      </c>
      <c r="BK28" s="62">
        <f>AVERAGE(AE28:AF28)</f>
        <v>0.3973</v>
      </c>
      <c r="BL28" s="62">
        <f>AVERAGE(AG28:AH28)</f>
        <v>0.6</v>
      </c>
      <c r="BM28" s="62">
        <f>AVERAGE(AI28:AJ28)</f>
        <v>0.4145299145299145</v>
      </c>
      <c r="BN28" s="62">
        <f>AVERAGE(AK28:AL28)</f>
        <v>0.53855</v>
      </c>
      <c r="BO28" s="62">
        <f aca="true" t="shared" si="6" ref="BO28:BT28">AVERAGE(AM28:AN28)</f>
        <v>0.71135</v>
      </c>
      <c r="BP28" s="62">
        <f t="shared" si="6"/>
        <v>0.4399214285714286</v>
      </c>
      <c r="BQ28" s="62">
        <f t="shared" si="6"/>
        <v>0.3952214285714286</v>
      </c>
      <c r="BR28" s="62">
        <f t="shared" si="6"/>
        <v>0.4944277777777778</v>
      </c>
      <c r="BS28" s="62">
        <f t="shared" si="6"/>
        <v>0.36988304093567254</v>
      </c>
      <c r="BT28" s="62">
        <f t="shared" si="6"/>
        <v>0.41563467492260064</v>
      </c>
      <c r="BU28" s="62"/>
      <c r="BV28" s="62"/>
      <c r="BW28" s="78"/>
      <c r="BX28" s="78"/>
      <c r="BY28" s="78"/>
      <c r="BZ28" s="54">
        <v>94</v>
      </c>
      <c r="CA28" s="54">
        <v>101</v>
      </c>
      <c r="CB28" s="54">
        <v>92</v>
      </c>
      <c r="CC28" s="54">
        <v>123</v>
      </c>
      <c r="CD28" s="44">
        <v>165</v>
      </c>
      <c r="CE28" s="54">
        <v>181</v>
      </c>
      <c r="CF28" s="54">
        <v>200</v>
      </c>
      <c r="CG28" s="54">
        <f>193+9</f>
        <v>202</v>
      </c>
      <c r="CH28" s="54">
        <f>192+16</f>
        <v>208</v>
      </c>
      <c r="CI28" s="54">
        <f>195+4</f>
        <v>199</v>
      </c>
      <c r="CJ28" s="54">
        <v>116</v>
      </c>
      <c r="CK28" s="54">
        <f>74+0</f>
        <v>74</v>
      </c>
      <c r="CL28" s="54">
        <v>48</v>
      </c>
      <c r="CM28" s="54">
        <f>3+0</f>
        <v>3</v>
      </c>
      <c r="CN28" s="129">
        <v>0</v>
      </c>
      <c r="CO28" s="129"/>
      <c r="CP28" s="129"/>
      <c r="CQ28" s="129"/>
      <c r="CR28" s="76"/>
      <c r="CS28" s="76"/>
      <c r="CT28" s="55">
        <v>0.45</v>
      </c>
      <c r="CU28" s="55">
        <v>0.47</v>
      </c>
      <c r="CV28" s="55">
        <v>0.68</v>
      </c>
      <c r="CW28" s="64">
        <v>0.68</v>
      </c>
      <c r="CX28" s="64">
        <v>0.74</v>
      </c>
      <c r="CY28" s="55">
        <v>0.56</v>
      </c>
      <c r="CZ28" s="55">
        <v>0.72</v>
      </c>
      <c r="DA28" s="55">
        <v>0.83</v>
      </c>
      <c r="DB28" s="55">
        <v>0.89</v>
      </c>
      <c r="DC28" s="55">
        <v>1</v>
      </c>
      <c r="DD28" s="55">
        <v>0.91</v>
      </c>
      <c r="DE28" s="55">
        <v>0.71</v>
      </c>
      <c r="DF28" s="55">
        <v>0.73</v>
      </c>
      <c r="DG28" s="55">
        <v>0.89</v>
      </c>
      <c r="DH28" s="55">
        <v>0.84</v>
      </c>
      <c r="DI28" s="55">
        <v>0.76</v>
      </c>
      <c r="DJ28" s="55">
        <v>0.54</v>
      </c>
      <c r="DK28" s="66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22">
        <v>0.5</v>
      </c>
      <c r="DZ28" s="122">
        <v>1</v>
      </c>
      <c r="EA28" s="123">
        <v>0.66</v>
      </c>
      <c r="EB28" s="123">
        <v>0.921</v>
      </c>
      <c r="EC28" s="122">
        <v>0.9</v>
      </c>
      <c r="ED28" s="122">
        <v>1</v>
      </c>
      <c r="EE28" s="123">
        <v>0.591</v>
      </c>
      <c r="EF28" s="123">
        <v>1</v>
      </c>
      <c r="EG28" s="122">
        <v>0.286</v>
      </c>
      <c r="EH28" s="122">
        <v>0.8</v>
      </c>
      <c r="EI28" s="123">
        <v>0.6</v>
      </c>
      <c r="EJ28" s="123">
        <v>1</v>
      </c>
      <c r="EK28" s="122">
        <v>0.556</v>
      </c>
      <c r="EL28" s="122">
        <v>1</v>
      </c>
      <c r="EM28" s="123">
        <v>0.263</v>
      </c>
      <c r="EN28" s="123">
        <v>1</v>
      </c>
      <c r="EO28" s="122">
        <v>0.529</v>
      </c>
      <c r="EP28" s="122">
        <v>0.818</v>
      </c>
      <c r="EQ28" s="123">
        <v>0.321</v>
      </c>
      <c r="ER28" s="123">
        <v>0.692</v>
      </c>
      <c r="ES28" s="131" t="s">
        <v>211</v>
      </c>
      <c r="ET28" s="131" t="s">
        <v>211</v>
      </c>
      <c r="EU28" s="132" t="s">
        <v>211</v>
      </c>
      <c r="EV28" s="132" t="s">
        <v>211</v>
      </c>
      <c r="EW28" s="131" t="s">
        <v>211</v>
      </c>
      <c r="EX28" s="131" t="s">
        <v>211</v>
      </c>
      <c r="EY28" s="132" t="s">
        <v>211</v>
      </c>
      <c r="EZ28" s="132" t="s">
        <v>211</v>
      </c>
      <c r="FA28" s="131" t="s">
        <v>211</v>
      </c>
      <c r="FB28" s="131" t="s">
        <v>211</v>
      </c>
      <c r="FC28" s="132" t="s">
        <v>211</v>
      </c>
      <c r="FD28" s="132" t="s">
        <v>211</v>
      </c>
      <c r="FE28" s="131" t="s">
        <v>211</v>
      </c>
      <c r="FF28" s="131" t="s">
        <v>211</v>
      </c>
      <c r="FG28" s="132" t="s">
        <v>211</v>
      </c>
      <c r="FH28" s="132" t="s">
        <v>211</v>
      </c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2.75">
      <c r="A29" s="47" t="s">
        <v>40</v>
      </c>
      <c r="B29" s="9" t="s">
        <v>205</v>
      </c>
      <c r="C29" s="39" t="s">
        <v>7</v>
      </c>
      <c r="D29" s="39">
        <v>5061100004</v>
      </c>
      <c r="E29" s="39">
        <v>544100044</v>
      </c>
      <c r="F29" s="26" t="s">
        <v>180</v>
      </c>
      <c r="G29" s="10" t="s">
        <v>318</v>
      </c>
      <c r="H29" s="10"/>
      <c r="I29" s="10"/>
      <c r="J29" s="10"/>
      <c r="K29" s="61"/>
      <c r="L29" s="75"/>
      <c r="M29" s="83"/>
      <c r="N29" s="62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 t="s">
        <v>211</v>
      </c>
      <c r="AV29" s="76" t="s">
        <v>211</v>
      </c>
      <c r="AW29" s="81">
        <v>0.7273</v>
      </c>
      <c r="AX29" s="81">
        <v>0.4333</v>
      </c>
      <c r="AY29" s="76"/>
      <c r="AZ29" s="81">
        <v>0.3684</v>
      </c>
      <c r="BA29" s="76"/>
      <c r="BB29" s="81">
        <v>0.5</v>
      </c>
      <c r="BC29" s="60"/>
      <c r="BD29" s="60"/>
      <c r="BE29" s="60"/>
      <c r="BF29" s="60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>
        <f>AVERAGE(AY29:AZ29)</f>
        <v>0.3684</v>
      </c>
      <c r="BV29" s="62">
        <f>AVERAGE(BA29:BB29)</f>
        <v>0.5</v>
      </c>
      <c r="BW29" s="78"/>
      <c r="BX29" s="78"/>
      <c r="BY29" s="54"/>
      <c r="BZ29" s="54"/>
      <c r="CA29" s="54"/>
      <c r="CB29" s="54"/>
      <c r="CC29" s="54"/>
      <c r="CD29" s="44"/>
      <c r="CE29" s="54"/>
      <c r="CF29" s="54"/>
      <c r="CG29" s="54"/>
      <c r="CH29" s="54"/>
      <c r="CI29" s="54"/>
      <c r="CJ29" s="54">
        <f>22</f>
        <v>22</v>
      </c>
      <c r="CK29" s="54">
        <f>48+0</f>
        <v>48</v>
      </c>
      <c r="CL29" s="54">
        <v>60</v>
      </c>
      <c r="CM29" s="54">
        <f>67+0</f>
        <v>67</v>
      </c>
      <c r="CN29" s="54">
        <f>79+0</f>
        <v>79</v>
      </c>
      <c r="CO29" s="54">
        <f>75+0</f>
        <v>75</v>
      </c>
      <c r="CP29" s="54">
        <v>57</v>
      </c>
      <c r="CQ29" s="54">
        <v>55</v>
      </c>
      <c r="CR29" s="76"/>
      <c r="CS29" s="55"/>
      <c r="CT29" s="55"/>
      <c r="CU29" s="55"/>
      <c r="CV29" s="55"/>
      <c r="CW29" s="64"/>
      <c r="CX29" s="64"/>
      <c r="CY29" s="55"/>
      <c r="CZ29" s="55"/>
      <c r="DA29" s="55"/>
      <c r="DB29" s="55"/>
      <c r="DC29" s="66"/>
      <c r="DD29" s="55"/>
      <c r="DE29" s="55"/>
      <c r="DF29" s="55"/>
      <c r="DG29" s="125" t="s">
        <v>211</v>
      </c>
      <c r="DH29" s="125" t="s">
        <v>211</v>
      </c>
      <c r="DI29" s="125" t="s">
        <v>211</v>
      </c>
      <c r="DJ29" s="125" t="s">
        <v>211</v>
      </c>
      <c r="DK29" s="125" t="s">
        <v>211</v>
      </c>
      <c r="DL29" s="55">
        <v>0.82</v>
      </c>
      <c r="DM29" s="66"/>
      <c r="DN29" s="55">
        <v>0.83</v>
      </c>
      <c r="DO29" s="66"/>
      <c r="DP29" s="55">
        <v>0.631578947368421</v>
      </c>
      <c r="DQ29" s="66"/>
      <c r="DR29" s="55">
        <v>1</v>
      </c>
      <c r="DS29" s="66"/>
      <c r="DT29" s="55">
        <v>0.76</v>
      </c>
      <c r="DU29" s="66"/>
      <c r="DV29" s="55">
        <v>0.5</v>
      </c>
      <c r="DW29" s="55" t="s">
        <v>211</v>
      </c>
      <c r="DX29" s="55">
        <v>0.83</v>
      </c>
      <c r="DY29" s="122" t="s">
        <v>211</v>
      </c>
      <c r="DZ29" s="122" t="s">
        <v>211</v>
      </c>
      <c r="EA29" s="124" t="s">
        <v>211</v>
      </c>
      <c r="EB29" s="124" t="s">
        <v>211</v>
      </c>
      <c r="EC29" s="122" t="s">
        <v>211</v>
      </c>
      <c r="ED29" s="122" t="s">
        <v>211</v>
      </c>
      <c r="EE29" s="124" t="s">
        <v>211</v>
      </c>
      <c r="EF29" s="124" t="s">
        <v>211</v>
      </c>
      <c r="EG29" s="122" t="s">
        <v>211</v>
      </c>
      <c r="EH29" s="122" t="s">
        <v>211</v>
      </c>
      <c r="EI29" s="124" t="s">
        <v>211</v>
      </c>
      <c r="EJ29" s="124" t="s">
        <v>211</v>
      </c>
      <c r="EK29" s="122" t="s">
        <v>211</v>
      </c>
      <c r="EL29" s="122" t="s">
        <v>211</v>
      </c>
      <c r="EM29" s="124" t="s">
        <v>211</v>
      </c>
      <c r="EN29" s="124" t="s">
        <v>211</v>
      </c>
      <c r="EO29" s="122" t="s">
        <v>211</v>
      </c>
      <c r="EP29" s="122" t="s">
        <v>211</v>
      </c>
      <c r="EQ29" s="124" t="s">
        <v>211</v>
      </c>
      <c r="ER29" s="124" t="s">
        <v>211</v>
      </c>
      <c r="ES29" s="122" t="s">
        <v>211</v>
      </c>
      <c r="ET29" s="122" t="s">
        <v>211</v>
      </c>
      <c r="EU29" s="124" t="s">
        <v>211</v>
      </c>
      <c r="EV29" s="124" t="s">
        <v>211</v>
      </c>
      <c r="EW29" s="122" t="s">
        <v>211</v>
      </c>
      <c r="EX29" s="122" t="s">
        <v>211</v>
      </c>
      <c r="EY29" s="124">
        <v>0.045</v>
      </c>
      <c r="EZ29" s="124">
        <v>0.063</v>
      </c>
      <c r="FA29" s="122" t="s">
        <v>211</v>
      </c>
      <c r="FB29" s="122" t="s">
        <v>211</v>
      </c>
      <c r="FC29" s="124">
        <v>0.033</v>
      </c>
      <c r="FD29" s="124">
        <v>0.063</v>
      </c>
      <c r="FE29" s="122" t="s">
        <v>211</v>
      </c>
      <c r="FF29" s="122" t="s">
        <v>211</v>
      </c>
      <c r="FG29" s="124">
        <v>0</v>
      </c>
      <c r="FH29" s="124">
        <v>0</v>
      </c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2.75">
      <c r="A30" s="47" t="s">
        <v>40</v>
      </c>
      <c r="B30" s="9" t="s">
        <v>205</v>
      </c>
      <c r="C30" s="39" t="s">
        <v>11</v>
      </c>
      <c r="D30" s="39">
        <v>5042000002</v>
      </c>
      <c r="E30" s="39">
        <v>533000003</v>
      </c>
      <c r="F30" s="26" t="s">
        <v>97</v>
      </c>
      <c r="G30" s="10" t="s">
        <v>318</v>
      </c>
      <c r="H30" s="10" t="s">
        <v>65</v>
      </c>
      <c r="I30" s="10" t="s">
        <v>166</v>
      </c>
      <c r="J30" s="10" t="s">
        <v>172</v>
      </c>
      <c r="K30" s="61">
        <v>1</v>
      </c>
      <c r="L30" s="75" t="s">
        <v>22</v>
      </c>
      <c r="M30" s="62" t="s">
        <v>21</v>
      </c>
      <c r="N30" s="62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62">
        <v>0.475</v>
      </c>
      <c r="AC30" s="62">
        <v>0.3158</v>
      </c>
      <c r="AD30" s="62">
        <v>0.3659</v>
      </c>
      <c r="AE30" s="62">
        <v>0.5</v>
      </c>
      <c r="AF30" s="62">
        <v>0.5938</v>
      </c>
      <c r="AG30" s="84"/>
      <c r="AH30" s="62">
        <v>0.444</v>
      </c>
      <c r="AI30" s="62">
        <v>0.3684</v>
      </c>
      <c r="AJ30" s="62">
        <v>0.8378</v>
      </c>
      <c r="AK30" s="80">
        <v>0.5</v>
      </c>
      <c r="AL30" s="62">
        <v>0.717391304347826</v>
      </c>
      <c r="AM30" s="62">
        <v>0.6154</v>
      </c>
      <c r="AN30" s="62">
        <v>0.7619</v>
      </c>
      <c r="AO30" s="62">
        <v>0.6666666666666666</v>
      </c>
      <c r="AP30" s="81">
        <v>0.5818</v>
      </c>
      <c r="AQ30" s="81">
        <v>0.5517241379310345</v>
      </c>
      <c r="AR30" s="81">
        <v>0.6329113924050633</v>
      </c>
      <c r="AS30" s="81">
        <v>0.6428571428571429</v>
      </c>
      <c r="AT30" s="81">
        <v>0.6818181818181818</v>
      </c>
      <c r="AU30" s="81">
        <v>0.5454545454545454</v>
      </c>
      <c r="AV30" s="81">
        <v>0.47619047619047616</v>
      </c>
      <c r="AW30" s="81">
        <v>1</v>
      </c>
      <c r="AX30" s="81">
        <v>0.6579</v>
      </c>
      <c r="AY30" s="81">
        <v>0.3125</v>
      </c>
      <c r="AZ30" s="81">
        <v>0.8095</v>
      </c>
      <c r="BA30" s="81">
        <v>0.4</v>
      </c>
      <c r="BB30" s="81">
        <v>0.8108</v>
      </c>
      <c r="BC30" s="60"/>
      <c r="BD30" s="60"/>
      <c r="BE30" s="60"/>
      <c r="BF30" s="60"/>
      <c r="BG30" s="62"/>
      <c r="BH30" s="62"/>
      <c r="BI30" s="62">
        <f>AVERAGE(AA30:AB30)</f>
        <v>0.475</v>
      </c>
      <c r="BJ30" s="62">
        <f>AVERAGE(AC30:AD30)</f>
        <v>0.34085</v>
      </c>
      <c r="BK30" s="62">
        <f>AVERAGE(AE30:AF30)</f>
        <v>0.5468999999999999</v>
      </c>
      <c r="BL30" s="62">
        <f>AVERAGE(AG30:AH30)</f>
        <v>0.444</v>
      </c>
      <c r="BM30" s="62">
        <f>AVERAGE(AI30:AJ30)</f>
        <v>0.6031</v>
      </c>
      <c r="BN30" s="62">
        <f>AVERAGE(AK30:AL30)</f>
        <v>0.6086956521739131</v>
      </c>
      <c r="BO30" s="62">
        <f aca="true" t="shared" si="7" ref="BO30:BT30">AVERAGE(AM30:AN30)</f>
        <v>0.68865</v>
      </c>
      <c r="BP30" s="62">
        <f t="shared" si="7"/>
        <v>0.7142833333333334</v>
      </c>
      <c r="BQ30" s="62">
        <f t="shared" si="7"/>
        <v>0.6242333333333333</v>
      </c>
      <c r="BR30" s="62">
        <f t="shared" si="7"/>
        <v>0.5667620689655173</v>
      </c>
      <c r="BS30" s="62">
        <f t="shared" si="7"/>
        <v>0.5923177651680489</v>
      </c>
      <c r="BT30" s="62">
        <f t="shared" si="7"/>
        <v>0.6378842676311032</v>
      </c>
      <c r="BU30" s="62">
        <f>AVERAGE(AY30:AZ30)</f>
        <v>0.5609999999999999</v>
      </c>
      <c r="BV30" s="62">
        <f>AVERAGE(BA30:BB30)</f>
        <v>0.6053999999999999</v>
      </c>
      <c r="BW30" s="78"/>
      <c r="BX30" s="78"/>
      <c r="BY30" s="78"/>
      <c r="BZ30" s="54">
        <v>55</v>
      </c>
      <c r="CA30" s="54">
        <v>75</v>
      </c>
      <c r="CB30" s="54">
        <v>105</v>
      </c>
      <c r="CC30" s="54">
        <v>148</v>
      </c>
      <c r="CD30" s="44">
        <v>175</v>
      </c>
      <c r="CE30" s="54">
        <v>195</v>
      </c>
      <c r="CF30" s="54">
        <v>213</v>
      </c>
      <c r="CG30" s="54">
        <f>223+30</f>
        <v>253</v>
      </c>
      <c r="CH30" s="54">
        <f>285+14</f>
        <v>299</v>
      </c>
      <c r="CI30" s="54">
        <f>291+11</f>
        <v>302</v>
      </c>
      <c r="CJ30" s="54">
        <f>281+5</f>
        <v>286</v>
      </c>
      <c r="CK30" s="54">
        <f>260+16</f>
        <v>276</v>
      </c>
      <c r="CL30" s="54">
        <f>243+15</f>
        <v>258</v>
      </c>
      <c r="CM30" s="54">
        <f>211+13</f>
        <v>224</v>
      </c>
      <c r="CN30" s="54">
        <f>211+9</f>
        <v>220</v>
      </c>
      <c r="CO30" s="54">
        <f>209+0</f>
        <v>209</v>
      </c>
      <c r="CP30" s="54">
        <v>195</v>
      </c>
      <c r="CQ30" s="54">
        <v>168</v>
      </c>
      <c r="CR30" s="76"/>
      <c r="CS30" s="76"/>
      <c r="CT30" s="55">
        <v>0.73</v>
      </c>
      <c r="CU30" s="55">
        <v>0.63</v>
      </c>
      <c r="CV30" s="55">
        <v>0.75</v>
      </c>
      <c r="CW30" s="64">
        <v>0.85</v>
      </c>
      <c r="CX30" s="64">
        <v>0.72</v>
      </c>
      <c r="CY30" s="55">
        <v>0.58</v>
      </c>
      <c r="CZ30" s="55">
        <v>1</v>
      </c>
      <c r="DA30" s="55">
        <v>0.72</v>
      </c>
      <c r="DB30" s="55">
        <v>0.8</v>
      </c>
      <c r="DC30" s="55">
        <v>0.77</v>
      </c>
      <c r="DD30" s="55">
        <v>0.86</v>
      </c>
      <c r="DE30" s="55">
        <v>0.8</v>
      </c>
      <c r="DF30" s="55">
        <v>0.82</v>
      </c>
      <c r="DG30" s="55">
        <v>0.76</v>
      </c>
      <c r="DH30" s="55">
        <v>0.8</v>
      </c>
      <c r="DI30" s="55">
        <v>0.79</v>
      </c>
      <c r="DJ30" s="55">
        <v>0.83</v>
      </c>
      <c r="DK30" s="55">
        <v>0.7272727272727273</v>
      </c>
      <c r="DL30" s="55">
        <v>0.74</v>
      </c>
      <c r="DM30" s="55">
        <v>1</v>
      </c>
      <c r="DN30" s="55">
        <v>0.82</v>
      </c>
      <c r="DO30" s="55">
        <v>0.5625</v>
      </c>
      <c r="DP30" s="55">
        <v>0.8571428571428571</v>
      </c>
      <c r="DQ30" s="55">
        <v>0.6</v>
      </c>
      <c r="DR30" s="55">
        <v>0.918918918918919</v>
      </c>
      <c r="DS30" s="55">
        <v>0.85</v>
      </c>
      <c r="DT30" s="55">
        <v>0.83</v>
      </c>
      <c r="DU30" s="55">
        <v>0.56</v>
      </c>
      <c r="DV30" s="55">
        <v>0.94</v>
      </c>
      <c r="DW30" s="55" t="s">
        <v>211</v>
      </c>
      <c r="DX30" s="55">
        <v>0.83</v>
      </c>
      <c r="DY30" s="122">
        <v>0.5</v>
      </c>
      <c r="DZ30" s="122">
        <v>1</v>
      </c>
      <c r="EA30" s="123">
        <v>0.696</v>
      </c>
      <c r="EB30" s="123">
        <v>0.914</v>
      </c>
      <c r="EC30" s="122">
        <v>0.615</v>
      </c>
      <c r="ED30" s="122">
        <v>1</v>
      </c>
      <c r="EE30" s="123">
        <v>0.69</v>
      </c>
      <c r="EF30" s="123">
        <v>0.935</v>
      </c>
      <c r="EG30" s="122">
        <v>0.467</v>
      </c>
      <c r="EH30" s="122">
        <v>0.7</v>
      </c>
      <c r="EI30" s="123">
        <v>0.655</v>
      </c>
      <c r="EJ30" s="123">
        <v>1</v>
      </c>
      <c r="EK30" s="122">
        <v>0.586</v>
      </c>
      <c r="EL30" s="122">
        <v>1</v>
      </c>
      <c r="EM30" s="123">
        <v>0.646</v>
      </c>
      <c r="EN30" s="123">
        <v>0.962</v>
      </c>
      <c r="EO30" s="122">
        <v>0.714</v>
      </c>
      <c r="EP30" s="122">
        <v>1</v>
      </c>
      <c r="EQ30" s="123">
        <v>0.667</v>
      </c>
      <c r="ER30" s="123">
        <v>0.917</v>
      </c>
      <c r="ES30" s="122">
        <v>0.636</v>
      </c>
      <c r="ET30" s="122">
        <v>1</v>
      </c>
      <c r="EU30" s="123">
        <v>0.19</v>
      </c>
      <c r="EV30" s="123">
        <v>0.308</v>
      </c>
      <c r="EW30" s="122">
        <v>0</v>
      </c>
      <c r="EX30" s="122">
        <v>0</v>
      </c>
      <c r="EY30" s="123">
        <v>0.346</v>
      </c>
      <c r="EZ30" s="123">
        <v>0.346</v>
      </c>
      <c r="FA30" s="122">
        <v>0.143</v>
      </c>
      <c r="FB30" s="122">
        <v>0.143</v>
      </c>
      <c r="FC30" s="123">
        <v>0</v>
      </c>
      <c r="FD30" s="123">
        <v>0</v>
      </c>
      <c r="FE30" s="122">
        <v>0.063</v>
      </c>
      <c r="FF30" s="122">
        <v>0.143</v>
      </c>
      <c r="FG30" s="123">
        <v>0.238</v>
      </c>
      <c r="FH30" s="123">
        <v>0.294</v>
      </c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2.75">
      <c r="A31" s="47" t="s">
        <v>40</v>
      </c>
      <c r="B31" s="9" t="s">
        <v>205</v>
      </c>
      <c r="C31" s="39" t="s">
        <v>14</v>
      </c>
      <c r="D31" s="39">
        <v>5092100006</v>
      </c>
      <c r="E31" s="39">
        <v>571200006</v>
      </c>
      <c r="F31" s="26" t="s">
        <v>107</v>
      </c>
      <c r="G31" s="10" t="s">
        <v>318</v>
      </c>
      <c r="H31" s="10"/>
      <c r="I31" s="10"/>
      <c r="J31" s="10"/>
      <c r="K31" s="61"/>
      <c r="L31" s="75"/>
      <c r="M31" s="83"/>
      <c r="N31" s="62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62"/>
      <c r="AA31" s="62"/>
      <c r="AB31" s="62"/>
      <c r="AC31" s="62"/>
      <c r="AD31" s="62"/>
      <c r="AE31" s="62"/>
      <c r="AF31" s="62"/>
      <c r="AG31" s="84"/>
      <c r="AH31" s="62"/>
      <c r="AI31" s="62"/>
      <c r="AJ31" s="62"/>
      <c r="AK31" s="80"/>
      <c r="AL31" s="62"/>
      <c r="AM31" s="76"/>
      <c r="AN31" s="76"/>
      <c r="AO31" s="76"/>
      <c r="AP31" s="76"/>
      <c r="AQ31" s="76"/>
      <c r="AR31" s="76"/>
      <c r="AS31" s="76"/>
      <c r="AT31" s="76"/>
      <c r="AU31" s="76" t="s">
        <v>211</v>
      </c>
      <c r="AV31" s="76" t="s">
        <v>211</v>
      </c>
      <c r="AW31" s="81">
        <v>0.7333</v>
      </c>
      <c r="AX31" s="81">
        <v>0.8333</v>
      </c>
      <c r="AY31" s="88" t="s">
        <v>211</v>
      </c>
      <c r="AZ31" s="89">
        <v>0</v>
      </c>
      <c r="BA31" s="89">
        <v>0.7391304347826086</v>
      </c>
      <c r="BB31" s="89">
        <v>0</v>
      </c>
      <c r="BC31" s="60"/>
      <c r="BD31" s="60"/>
      <c r="BE31" s="60"/>
      <c r="BF31" s="60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>
        <f>AVERAGE(BA31:BB31)</f>
        <v>0.3695652173913043</v>
      </c>
      <c r="BW31" s="78"/>
      <c r="BX31" s="78"/>
      <c r="BY31" s="54"/>
      <c r="BZ31" s="54"/>
      <c r="CA31" s="54"/>
      <c r="CB31" s="54"/>
      <c r="CC31" s="54"/>
      <c r="CD31" s="44"/>
      <c r="CE31" s="54"/>
      <c r="CF31" s="54"/>
      <c r="CG31" s="54"/>
      <c r="CH31" s="54"/>
      <c r="CI31" s="54"/>
      <c r="CJ31" s="54"/>
      <c r="CK31" s="54">
        <f>60+30</f>
        <v>90</v>
      </c>
      <c r="CL31" s="54">
        <f>195+61</f>
        <v>256</v>
      </c>
      <c r="CM31" s="54">
        <f>352+61</f>
        <v>413</v>
      </c>
      <c r="CN31" s="54">
        <f>462+85</f>
        <v>547</v>
      </c>
      <c r="CO31" s="54">
        <f>588+61</f>
        <v>649</v>
      </c>
      <c r="CP31" s="54">
        <v>645</v>
      </c>
      <c r="CQ31" s="54">
        <v>526</v>
      </c>
      <c r="CR31" s="76"/>
      <c r="CS31" s="55"/>
      <c r="CT31" s="55"/>
      <c r="CU31" s="55"/>
      <c r="CV31" s="55"/>
      <c r="CW31" s="64"/>
      <c r="CX31" s="64"/>
      <c r="CY31" s="55"/>
      <c r="CZ31" s="55"/>
      <c r="DA31" s="55"/>
      <c r="DB31" s="55"/>
      <c r="DC31" s="66"/>
      <c r="DD31" s="55"/>
      <c r="DE31" s="55"/>
      <c r="DF31" s="55"/>
      <c r="DG31" s="125" t="s">
        <v>211</v>
      </c>
      <c r="DH31" s="125" t="s">
        <v>211</v>
      </c>
      <c r="DI31" s="125" t="s">
        <v>211</v>
      </c>
      <c r="DJ31" s="125" t="s">
        <v>211</v>
      </c>
      <c r="DK31" s="125" t="s">
        <v>211</v>
      </c>
      <c r="DL31" s="55"/>
      <c r="DM31" s="55"/>
      <c r="DN31" s="55">
        <v>0.85</v>
      </c>
      <c r="DO31" s="55">
        <v>0.9666666666666667</v>
      </c>
      <c r="DP31" s="55">
        <v>0.8695652173913043</v>
      </c>
      <c r="DQ31" s="55">
        <v>0.9180327868852459</v>
      </c>
      <c r="DR31" s="55">
        <v>0.8305084745762712</v>
      </c>
      <c r="DS31" s="55">
        <v>0.82</v>
      </c>
      <c r="DT31" s="55">
        <v>0.91</v>
      </c>
      <c r="DU31" s="55">
        <v>0.86</v>
      </c>
      <c r="DV31" s="55">
        <v>1</v>
      </c>
      <c r="DW31" s="55">
        <v>0.7857142857142857</v>
      </c>
      <c r="DX31" s="55">
        <v>0.84</v>
      </c>
      <c r="DY31" s="122" t="s">
        <v>211</v>
      </c>
      <c r="DZ31" s="122" t="s">
        <v>211</v>
      </c>
      <c r="EA31" s="124" t="s">
        <v>211</v>
      </c>
      <c r="EB31" s="124" t="s">
        <v>211</v>
      </c>
      <c r="EC31" s="122" t="s">
        <v>211</v>
      </c>
      <c r="ED31" s="122" t="s">
        <v>211</v>
      </c>
      <c r="EE31" s="124" t="s">
        <v>211</v>
      </c>
      <c r="EF31" s="124" t="s">
        <v>211</v>
      </c>
      <c r="EG31" s="122" t="s">
        <v>211</v>
      </c>
      <c r="EH31" s="122" t="s">
        <v>211</v>
      </c>
      <c r="EI31" s="124" t="s">
        <v>211</v>
      </c>
      <c r="EJ31" s="124" t="s">
        <v>211</v>
      </c>
      <c r="EK31" s="122" t="s">
        <v>211</v>
      </c>
      <c r="EL31" s="122" t="s">
        <v>211</v>
      </c>
      <c r="EM31" s="124" t="s">
        <v>211</v>
      </c>
      <c r="EN31" s="124" t="s">
        <v>211</v>
      </c>
      <c r="EO31" s="122" t="s">
        <v>211</v>
      </c>
      <c r="EP31" s="122" t="s">
        <v>211</v>
      </c>
      <c r="EQ31" s="124" t="s">
        <v>211</v>
      </c>
      <c r="ER31" s="124" t="s">
        <v>211</v>
      </c>
      <c r="ES31" s="122" t="s">
        <v>211</v>
      </c>
      <c r="ET31" s="122" t="s">
        <v>211</v>
      </c>
      <c r="EU31" s="124" t="s">
        <v>211</v>
      </c>
      <c r="EV31" s="124" t="s">
        <v>211</v>
      </c>
      <c r="EW31" s="122">
        <v>0.717</v>
      </c>
      <c r="EX31" s="122">
        <v>0.717</v>
      </c>
      <c r="EY31" s="124">
        <v>0</v>
      </c>
      <c r="EZ31" s="124">
        <v>0</v>
      </c>
      <c r="FA31" s="122">
        <v>0.667</v>
      </c>
      <c r="FB31" s="122">
        <v>0.87</v>
      </c>
      <c r="FC31" s="124">
        <v>0.533</v>
      </c>
      <c r="FD31" s="124">
        <v>0.64</v>
      </c>
      <c r="FE31" s="122">
        <v>0.104</v>
      </c>
      <c r="FF31" s="122">
        <v>0.138</v>
      </c>
      <c r="FG31" s="124">
        <v>0</v>
      </c>
      <c r="FH31" s="124">
        <v>0</v>
      </c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2.75">
      <c r="A32" s="47" t="s">
        <v>40</v>
      </c>
      <c r="B32" s="9" t="s">
        <v>205</v>
      </c>
      <c r="C32" s="39" t="s">
        <v>14</v>
      </c>
      <c r="D32" s="39" t="s">
        <v>211</v>
      </c>
      <c r="E32" s="39">
        <v>571101006</v>
      </c>
      <c r="F32" s="10" t="s">
        <v>341</v>
      </c>
      <c r="G32" s="10" t="s">
        <v>318</v>
      </c>
      <c r="H32" s="10"/>
      <c r="I32" s="10" t="s">
        <v>165</v>
      </c>
      <c r="J32" s="10" t="s">
        <v>170</v>
      </c>
      <c r="K32" s="61"/>
      <c r="L32" s="75"/>
      <c r="M32" s="83"/>
      <c r="N32" s="62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62"/>
      <c r="AA32" s="62"/>
      <c r="AB32" s="62"/>
      <c r="AC32" s="62"/>
      <c r="AD32" s="62"/>
      <c r="AE32" s="62"/>
      <c r="AF32" s="62"/>
      <c r="AG32" s="84"/>
      <c r="AH32" s="62"/>
      <c r="AI32" s="62"/>
      <c r="AJ32" s="62"/>
      <c r="AK32" s="80"/>
      <c r="AL32" s="62"/>
      <c r="AM32" s="76"/>
      <c r="AN32" s="76"/>
      <c r="AO32" s="76"/>
      <c r="AP32" s="76"/>
      <c r="AQ32" s="76"/>
      <c r="AR32" s="76"/>
      <c r="AS32" s="76"/>
      <c r="AT32" s="76"/>
      <c r="AU32" s="76" t="s">
        <v>211</v>
      </c>
      <c r="AV32" s="76" t="s">
        <v>211</v>
      </c>
      <c r="AW32" s="76" t="s">
        <v>211</v>
      </c>
      <c r="AX32" s="76"/>
      <c r="AY32" s="76"/>
      <c r="AZ32" s="76"/>
      <c r="BA32" s="76"/>
      <c r="BB32" s="76"/>
      <c r="BC32" s="60"/>
      <c r="BD32" s="60"/>
      <c r="BE32" s="60"/>
      <c r="BF32" s="60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78"/>
      <c r="BX32" s="78"/>
      <c r="BY32" s="54"/>
      <c r="BZ32" s="54"/>
      <c r="CA32" s="54"/>
      <c r="CB32" s="54"/>
      <c r="CC32" s="54"/>
      <c r="CD32" s="44"/>
      <c r="CE32" s="54"/>
      <c r="CF32" s="54"/>
      <c r="CG32" s="54"/>
      <c r="CH32" s="54"/>
      <c r="CI32" s="54"/>
      <c r="CJ32" s="54"/>
      <c r="CK32" s="54"/>
      <c r="CL32" s="54">
        <f>34+34</f>
        <v>68</v>
      </c>
      <c r="CM32" s="54">
        <f>95+34</f>
        <v>129</v>
      </c>
      <c r="CN32" s="54">
        <f>142+37</f>
        <v>179</v>
      </c>
      <c r="CO32" s="54">
        <f>161+35</f>
        <v>196</v>
      </c>
      <c r="CP32" s="54">
        <v>184</v>
      </c>
      <c r="CQ32" s="54">
        <v>157</v>
      </c>
      <c r="CR32" s="76"/>
      <c r="CS32" s="55"/>
      <c r="CT32" s="55"/>
      <c r="CU32" s="55"/>
      <c r="CV32" s="55"/>
      <c r="CW32" s="64"/>
      <c r="CX32" s="64"/>
      <c r="CY32" s="55"/>
      <c r="CZ32" s="55"/>
      <c r="DA32" s="55"/>
      <c r="DB32" s="55"/>
      <c r="DC32" s="66"/>
      <c r="DD32" s="55"/>
      <c r="DE32" s="55"/>
      <c r="DF32" s="55"/>
      <c r="DG32" s="125" t="s">
        <v>211</v>
      </c>
      <c r="DH32" s="125" t="s">
        <v>211</v>
      </c>
      <c r="DI32" s="125" t="s">
        <v>211</v>
      </c>
      <c r="DJ32" s="125" t="s">
        <v>211</v>
      </c>
      <c r="DK32" s="125" t="s">
        <v>211</v>
      </c>
      <c r="DL32" s="55"/>
      <c r="DM32" s="55"/>
      <c r="DN32" s="55"/>
      <c r="DO32" s="55"/>
      <c r="DP32" s="55">
        <v>0.9117647058823529</v>
      </c>
      <c r="DQ32" s="55">
        <v>0.8235294117647058</v>
      </c>
      <c r="DR32" s="55">
        <v>0.7941176470588235</v>
      </c>
      <c r="DS32" s="55">
        <v>0.94</v>
      </c>
      <c r="DT32" s="55">
        <v>0.89</v>
      </c>
      <c r="DU32" s="55">
        <v>0.84</v>
      </c>
      <c r="DV32" s="55">
        <v>0.7</v>
      </c>
      <c r="DW32" s="55">
        <v>0.8484848484848485</v>
      </c>
      <c r="DX32" s="55">
        <v>0.7</v>
      </c>
      <c r="DY32" s="122" t="s">
        <v>211</v>
      </c>
      <c r="DZ32" s="122" t="s">
        <v>211</v>
      </c>
      <c r="EA32" s="124" t="s">
        <v>211</v>
      </c>
      <c r="EB32" s="124" t="s">
        <v>211</v>
      </c>
      <c r="EC32" s="122" t="s">
        <v>211</v>
      </c>
      <c r="ED32" s="122" t="s">
        <v>211</v>
      </c>
      <c r="EE32" s="124" t="s">
        <v>211</v>
      </c>
      <c r="EF32" s="124" t="s">
        <v>211</v>
      </c>
      <c r="EG32" s="122" t="s">
        <v>211</v>
      </c>
      <c r="EH32" s="122" t="s">
        <v>211</v>
      </c>
      <c r="EI32" s="124" t="s">
        <v>211</v>
      </c>
      <c r="EJ32" s="124" t="s">
        <v>211</v>
      </c>
      <c r="EK32" s="122" t="s">
        <v>211</v>
      </c>
      <c r="EL32" s="122" t="s">
        <v>211</v>
      </c>
      <c r="EM32" s="124" t="s">
        <v>211</v>
      </c>
      <c r="EN32" s="124" t="s">
        <v>211</v>
      </c>
      <c r="EO32" s="122" t="s">
        <v>211</v>
      </c>
      <c r="EP32" s="122" t="s">
        <v>211</v>
      </c>
      <c r="EQ32" s="124" t="s">
        <v>211</v>
      </c>
      <c r="ER32" s="124" t="s">
        <v>211</v>
      </c>
      <c r="ES32" s="122" t="s">
        <v>211</v>
      </c>
      <c r="ET32" s="122" t="s">
        <v>211</v>
      </c>
      <c r="EU32" s="124" t="s">
        <v>211</v>
      </c>
      <c r="EV32" s="124" t="s">
        <v>211</v>
      </c>
      <c r="EW32" s="122" t="s">
        <v>211</v>
      </c>
      <c r="EX32" s="122" t="s">
        <v>211</v>
      </c>
      <c r="EY32" s="124" t="s">
        <v>211</v>
      </c>
      <c r="EZ32" s="124" t="s">
        <v>211</v>
      </c>
      <c r="FA32" s="122" t="s">
        <v>211</v>
      </c>
      <c r="FB32" s="122" t="s">
        <v>211</v>
      </c>
      <c r="FC32" s="124" t="s">
        <v>211</v>
      </c>
      <c r="FD32" s="124" t="s">
        <v>211</v>
      </c>
      <c r="FE32" s="122"/>
      <c r="FF32" s="122"/>
      <c r="FG32" s="124"/>
      <c r="FH32" s="124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2.75">
      <c r="A33" s="47" t="s">
        <v>40</v>
      </c>
      <c r="B33" s="9" t="s">
        <v>205</v>
      </c>
      <c r="C33" s="39" t="s">
        <v>15</v>
      </c>
      <c r="D33" s="39">
        <v>5033100011</v>
      </c>
      <c r="E33" s="39">
        <v>534100012</v>
      </c>
      <c r="F33" s="26" t="s">
        <v>108</v>
      </c>
      <c r="G33" s="10" t="s">
        <v>318</v>
      </c>
      <c r="H33" s="10" t="s">
        <v>65</v>
      </c>
      <c r="I33" s="10" t="s">
        <v>166</v>
      </c>
      <c r="J33" s="10" t="s">
        <v>172</v>
      </c>
      <c r="K33" s="61">
        <v>1</v>
      </c>
      <c r="L33" s="75" t="s">
        <v>22</v>
      </c>
      <c r="M33" s="62" t="s">
        <v>21</v>
      </c>
      <c r="N33" s="62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62">
        <v>0.6</v>
      </c>
      <c r="AC33" s="62">
        <v>0.5488</v>
      </c>
      <c r="AD33" s="62">
        <v>0.4878</v>
      </c>
      <c r="AE33" s="62">
        <v>0.6495</v>
      </c>
      <c r="AF33" s="62">
        <v>0.4482758620689655</v>
      </c>
      <c r="AG33" s="62">
        <v>0.603448275862069</v>
      </c>
      <c r="AH33" s="62">
        <v>0.625</v>
      </c>
      <c r="AI33" s="62">
        <v>0.6557377049180327</v>
      </c>
      <c r="AJ33" s="62">
        <v>0.6666666666666666</v>
      </c>
      <c r="AK33" s="80">
        <v>0.7674</v>
      </c>
      <c r="AL33" s="62">
        <v>0.4231</v>
      </c>
      <c r="AM33" s="62">
        <v>0.7609</v>
      </c>
      <c r="AN33" s="62">
        <v>0.5555555555555556</v>
      </c>
      <c r="AO33" s="62">
        <v>0.74</v>
      </c>
      <c r="AP33" s="81">
        <v>0.6111</v>
      </c>
      <c r="AQ33" s="81">
        <v>0.6346153846153846</v>
      </c>
      <c r="AR33" s="81">
        <v>0.7</v>
      </c>
      <c r="AS33" s="81">
        <v>0.684931506849315</v>
      </c>
      <c r="AT33" s="81">
        <v>0.5428571428571428</v>
      </c>
      <c r="AU33" s="81">
        <v>0.7101449275362319</v>
      </c>
      <c r="AV33" s="81">
        <v>0.39285714285714285</v>
      </c>
      <c r="AW33" s="81">
        <v>0.6901</v>
      </c>
      <c r="AX33" s="81">
        <v>0.6667</v>
      </c>
      <c r="AY33" s="81">
        <v>0.5217</v>
      </c>
      <c r="AZ33" s="81">
        <v>0.47058823529411764</v>
      </c>
      <c r="BA33" s="81">
        <v>0.5125</v>
      </c>
      <c r="BB33" s="81">
        <v>0.5625</v>
      </c>
      <c r="BC33" s="60"/>
      <c r="BD33" s="60"/>
      <c r="BE33" s="60"/>
      <c r="BF33" s="60"/>
      <c r="BG33" s="62"/>
      <c r="BH33" s="62"/>
      <c r="BI33" s="62">
        <f>AVERAGE(AA33:AB33)</f>
        <v>0.6</v>
      </c>
      <c r="BJ33" s="62">
        <f>AVERAGE(AC33:AD33)</f>
        <v>0.5183</v>
      </c>
      <c r="BK33" s="62">
        <f>AVERAGE(AE33:AF33)</f>
        <v>0.5488879310344827</v>
      </c>
      <c r="BL33" s="62">
        <f>AVERAGE(AG33:AH33)</f>
        <v>0.6142241379310345</v>
      </c>
      <c r="BM33" s="62">
        <f>AVERAGE(AI33:AJ33)</f>
        <v>0.6612021857923497</v>
      </c>
      <c r="BN33" s="62">
        <f>AVERAGE(AK33:AL33)</f>
        <v>0.59525</v>
      </c>
      <c r="BO33" s="62">
        <f aca="true" t="shared" si="8" ref="BO33:BT33">AVERAGE(AM33:AN33)</f>
        <v>0.6582277777777779</v>
      </c>
      <c r="BP33" s="62">
        <f t="shared" si="8"/>
        <v>0.6477777777777778</v>
      </c>
      <c r="BQ33" s="62">
        <f t="shared" si="8"/>
        <v>0.67555</v>
      </c>
      <c r="BR33" s="62">
        <f t="shared" si="8"/>
        <v>0.6228576923076923</v>
      </c>
      <c r="BS33" s="62">
        <f t="shared" si="8"/>
        <v>0.6673076923076923</v>
      </c>
      <c r="BT33" s="62">
        <f t="shared" si="8"/>
        <v>0.6924657534246574</v>
      </c>
      <c r="BU33" s="62">
        <f>AVERAGE(AY33:AZ33)</f>
        <v>0.49614411764705885</v>
      </c>
      <c r="BV33" s="62">
        <f>AVERAGE(BA33:BB33)</f>
        <v>0.5375</v>
      </c>
      <c r="BW33" s="78"/>
      <c r="BX33" s="78"/>
      <c r="BY33" s="54">
        <v>62</v>
      </c>
      <c r="BZ33" s="54">
        <v>173</v>
      </c>
      <c r="CA33" s="54">
        <v>268</v>
      </c>
      <c r="CB33" s="54">
        <v>287</v>
      </c>
      <c r="CC33" s="54">
        <v>333</v>
      </c>
      <c r="CD33" s="44">
        <v>377</v>
      </c>
      <c r="CE33" s="54">
        <v>350</v>
      </c>
      <c r="CF33" s="54">
        <v>311</v>
      </c>
      <c r="CG33" s="54">
        <f>297+40</f>
        <v>337</v>
      </c>
      <c r="CH33" s="54">
        <f>339+35</f>
        <v>374</v>
      </c>
      <c r="CI33" s="54">
        <f>368+28</f>
        <v>396</v>
      </c>
      <c r="CJ33" s="54">
        <f>394+15</f>
        <v>409</v>
      </c>
      <c r="CK33" s="54">
        <f>387+17</f>
        <v>404</v>
      </c>
      <c r="CL33" s="54">
        <f>385+19</f>
        <v>404</v>
      </c>
      <c r="CM33" s="54">
        <f>343+28</f>
        <v>371</v>
      </c>
      <c r="CN33" s="54">
        <f>343+21</f>
        <v>364</v>
      </c>
      <c r="CO33" s="54">
        <f>298+34</f>
        <v>332</v>
      </c>
      <c r="CP33" s="54">
        <v>317</v>
      </c>
      <c r="CQ33" s="54">
        <v>271</v>
      </c>
      <c r="CR33" s="76"/>
      <c r="CS33" s="76"/>
      <c r="CT33" s="55">
        <v>0.73</v>
      </c>
      <c r="CU33" s="55">
        <v>0.82</v>
      </c>
      <c r="CV33" s="55">
        <v>0.67</v>
      </c>
      <c r="CW33" s="64">
        <v>0.75</v>
      </c>
      <c r="CX33" s="64">
        <v>0.87</v>
      </c>
      <c r="CY33" s="55">
        <v>0.72</v>
      </c>
      <c r="CZ33" s="55">
        <v>0.95</v>
      </c>
      <c r="DA33" s="55">
        <v>0.85</v>
      </c>
      <c r="DB33" s="55">
        <v>0.91</v>
      </c>
      <c r="DC33" s="55">
        <v>0.7</v>
      </c>
      <c r="DD33" s="55">
        <v>0.84</v>
      </c>
      <c r="DE33" s="55">
        <v>0.89</v>
      </c>
      <c r="DF33" s="55">
        <v>0.88</v>
      </c>
      <c r="DG33" s="55">
        <v>0.88</v>
      </c>
      <c r="DH33" s="55">
        <v>0.88</v>
      </c>
      <c r="DI33" s="55">
        <v>0.91</v>
      </c>
      <c r="DJ33" s="55">
        <v>0.93</v>
      </c>
      <c r="DK33" s="55">
        <v>0.7142857142857143</v>
      </c>
      <c r="DL33" s="55">
        <v>0.87</v>
      </c>
      <c r="DM33" s="55">
        <v>0.8</v>
      </c>
      <c r="DN33" s="55">
        <v>0.7391304347826086</v>
      </c>
      <c r="DO33" s="55">
        <v>0.5882352941176471</v>
      </c>
      <c r="DP33" s="55">
        <v>0.75</v>
      </c>
      <c r="DQ33" s="55">
        <v>0.8947368421052632</v>
      </c>
      <c r="DR33" s="55">
        <v>0.75</v>
      </c>
      <c r="DS33" s="55">
        <v>0.79</v>
      </c>
      <c r="DT33" s="55">
        <v>0.76</v>
      </c>
      <c r="DU33" s="55">
        <v>0.81</v>
      </c>
      <c r="DV33" s="55">
        <v>0.92</v>
      </c>
      <c r="DW33" s="55">
        <v>0.7096774193548387</v>
      </c>
      <c r="DX33" s="55">
        <v>0.95</v>
      </c>
      <c r="DY33" s="122">
        <v>0.656</v>
      </c>
      <c r="DZ33" s="122">
        <v>1</v>
      </c>
      <c r="EA33" s="124">
        <v>0.722</v>
      </c>
      <c r="EB33" s="124">
        <v>1</v>
      </c>
      <c r="EC33" s="122">
        <v>0.837</v>
      </c>
      <c r="ED33" s="122">
        <v>1</v>
      </c>
      <c r="EE33" s="124">
        <v>0.615</v>
      </c>
      <c r="EF33" s="124">
        <v>1</v>
      </c>
      <c r="EG33" s="122">
        <v>0.826</v>
      </c>
      <c r="EH33" s="122">
        <v>1</v>
      </c>
      <c r="EI33" s="124">
        <v>0.556</v>
      </c>
      <c r="EJ33" s="124">
        <v>1</v>
      </c>
      <c r="EK33" s="122">
        <v>0.72</v>
      </c>
      <c r="EL33" s="122">
        <v>0.878</v>
      </c>
      <c r="EM33" s="124">
        <v>0.722</v>
      </c>
      <c r="EN33" s="124">
        <v>1</v>
      </c>
      <c r="EO33" s="122">
        <v>0.692</v>
      </c>
      <c r="EP33" s="122">
        <v>0.973</v>
      </c>
      <c r="EQ33" s="123">
        <v>0.775</v>
      </c>
      <c r="ER33" s="123">
        <v>1</v>
      </c>
      <c r="ES33" s="122">
        <v>0.712</v>
      </c>
      <c r="ET33" s="122">
        <v>1</v>
      </c>
      <c r="EU33" s="124">
        <v>0.6</v>
      </c>
      <c r="EV33" s="124">
        <v>1</v>
      </c>
      <c r="EW33" s="122">
        <v>0.71</v>
      </c>
      <c r="EX33" s="122">
        <v>0.907</v>
      </c>
      <c r="EY33" s="124">
        <v>0.429</v>
      </c>
      <c r="EZ33" s="124">
        <v>0.923</v>
      </c>
      <c r="FA33" s="122">
        <v>0.355</v>
      </c>
      <c r="FB33" s="122">
        <v>0.5</v>
      </c>
      <c r="FC33" s="124">
        <v>0.267</v>
      </c>
      <c r="FD33" s="124">
        <v>0.4</v>
      </c>
      <c r="FE33" s="122">
        <v>0.261</v>
      </c>
      <c r="FF33" s="122">
        <v>0.45</v>
      </c>
      <c r="FG33" s="124">
        <v>0.176</v>
      </c>
      <c r="FH33" s="124">
        <v>0.375</v>
      </c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2.75">
      <c r="A34" s="47" t="s">
        <v>38</v>
      </c>
      <c r="B34" s="9" t="s">
        <v>201</v>
      </c>
      <c r="C34" s="39" t="s">
        <v>24</v>
      </c>
      <c r="D34" s="39" t="s">
        <v>250</v>
      </c>
      <c r="E34" s="39" t="s">
        <v>250</v>
      </c>
      <c r="F34" s="9" t="s">
        <v>25</v>
      </c>
      <c r="G34" s="9" t="s">
        <v>323</v>
      </c>
      <c r="H34" s="9" t="s">
        <v>61</v>
      </c>
      <c r="I34" s="9" t="s">
        <v>162</v>
      </c>
      <c r="J34" s="9" t="s">
        <v>174</v>
      </c>
      <c r="K34" s="79"/>
      <c r="L34" s="59"/>
      <c r="M34" s="60"/>
      <c r="N34" s="60"/>
      <c r="O34" s="76"/>
      <c r="P34" s="76"/>
      <c r="Q34" s="76"/>
      <c r="R34" s="76"/>
      <c r="S34" s="76"/>
      <c r="T34" s="76"/>
      <c r="U34" s="76"/>
      <c r="V34" s="76"/>
      <c r="W34" s="62">
        <v>0.2857</v>
      </c>
      <c r="X34" s="62">
        <v>0.2821</v>
      </c>
      <c r="Y34" s="62">
        <v>0.5631</v>
      </c>
      <c r="Z34" s="62">
        <v>0.2326</v>
      </c>
      <c r="AA34" s="62">
        <v>0.5688</v>
      </c>
      <c r="AB34" s="62">
        <v>0.1429</v>
      </c>
      <c r="AC34" s="62">
        <v>0.5774647887323944</v>
      </c>
      <c r="AD34" s="62">
        <v>0.2667</v>
      </c>
      <c r="AE34" s="62">
        <v>0.3904</v>
      </c>
      <c r="AF34" s="62">
        <v>0.0556</v>
      </c>
      <c r="AG34" s="62">
        <v>0.6207</v>
      </c>
      <c r="AH34" s="62">
        <v>0.1935</v>
      </c>
      <c r="AI34" s="62">
        <v>0.4576</v>
      </c>
      <c r="AJ34" s="62">
        <v>0.1364</v>
      </c>
      <c r="AK34" s="80">
        <v>0.4802</v>
      </c>
      <c r="AL34" s="80">
        <v>0.1316</v>
      </c>
      <c r="AM34" s="80">
        <v>0.3431</v>
      </c>
      <c r="AN34" s="80">
        <v>0.1481</v>
      </c>
      <c r="AO34" s="80">
        <v>0.4498</v>
      </c>
      <c r="AP34" s="81">
        <v>0.1212</v>
      </c>
      <c r="AQ34" s="81">
        <v>0.13703703703703704</v>
      </c>
      <c r="AR34" s="81">
        <v>0.0513</v>
      </c>
      <c r="AS34" s="81">
        <v>0.36271186440677966</v>
      </c>
      <c r="AT34" s="81">
        <v>0.17391304347826086</v>
      </c>
      <c r="AU34" s="81">
        <v>0.3333333333333333</v>
      </c>
      <c r="AV34" s="81">
        <v>0</v>
      </c>
      <c r="AW34" s="81">
        <v>0.3408</v>
      </c>
      <c r="AX34" s="81">
        <v>0.1364</v>
      </c>
      <c r="AY34" s="81">
        <v>0.3324</v>
      </c>
      <c r="AZ34" s="81">
        <v>0.0357</v>
      </c>
      <c r="BA34" s="81">
        <v>0.558303886925795</v>
      </c>
      <c r="BB34" s="81">
        <v>0.2121</v>
      </c>
      <c r="BC34" s="60"/>
      <c r="BD34" s="60"/>
      <c r="BE34" s="60"/>
      <c r="BF34" s="60"/>
      <c r="BG34" s="62">
        <f>AVERAGE(W34:W34)</f>
        <v>0.2857</v>
      </c>
      <c r="BH34" s="62">
        <f>(Y34+X34)/2</f>
        <v>0.42260000000000003</v>
      </c>
      <c r="BI34" s="62">
        <f>AVERAGE(Z34:AA34)</f>
        <v>0.4007</v>
      </c>
      <c r="BJ34" s="62">
        <f>AVERAGE(AB34:AD34)</f>
        <v>0.32902159624413146</v>
      </c>
      <c r="BK34" s="62">
        <f>AVERAGE(AE34:AF34)</f>
        <v>0.223</v>
      </c>
      <c r="BL34" s="62">
        <f>AVERAGE(AG34:AH34)</f>
        <v>0.4071</v>
      </c>
      <c r="BM34" s="62">
        <f>AVERAGE(AI34:AJ34)</f>
        <v>0.297</v>
      </c>
      <c r="BN34" s="62">
        <f>AVERAGE(AK34:AL34)</f>
        <v>0.3059</v>
      </c>
      <c r="BO34" s="62">
        <f>AVERAGE(AM34:AN34)</f>
        <v>0.2456</v>
      </c>
      <c r="BP34" s="62">
        <f>AVERAGE(AO34:AP34)</f>
        <v>0.2855</v>
      </c>
      <c r="BQ34" s="62">
        <f>AVERAGE(AQ34:AR34)</f>
        <v>0.09416851851851851</v>
      </c>
      <c r="BR34" s="62">
        <f>AVERAGE(AS34:AT34)</f>
        <v>0.26831245394252023</v>
      </c>
      <c r="BS34" s="62">
        <f>AVERAGE(AU34:AV34)</f>
        <v>0.16666666666666666</v>
      </c>
      <c r="BT34" s="62">
        <f>AVERAGE(AW34:AX34)</f>
        <v>0.23859999999999998</v>
      </c>
      <c r="BU34" s="62">
        <f>AVERAGE(AY34:AZ34)</f>
        <v>0.18405</v>
      </c>
      <c r="BV34" s="62">
        <f>AVERAGE(BA34:BB34)</f>
        <v>0.3852019434628975</v>
      </c>
      <c r="BW34" s="54"/>
      <c r="BX34" s="54"/>
      <c r="BY34" s="54"/>
      <c r="BZ34" s="54"/>
      <c r="CA34" s="54"/>
      <c r="CB34" s="54"/>
      <c r="CC34" s="54"/>
      <c r="CD34" s="44"/>
      <c r="CE34" s="54">
        <v>462</v>
      </c>
      <c r="CF34" s="54">
        <v>544</v>
      </c>
      <c r="CG34" s="54">
        <v>554</v>
      </c>
      <c r="CH34" s="54">
        <v>607</v>
      </c>
      <c r="CI34" s="54">
        <v>655</v>
      </c>
      <c r="CJ34" s="54">
        <v>716</v>
      </c>
      <c r="CK34" s="54">
        <f>719+15</f>
        <v>734</v>
      </c>
      <c r="CL34" s="54">
        <f>733+23</f>
        <v>756</v>
      </c>
      <c r="CM34" s="54">
        <f>801+29</f>
        <v>830</v>
      </c>
      <c r="CN34" s="54">
        <f>732+34</f>
        <v>766</v>
      </c>
      <c r="CO34" s="54">
        <f>857+24</f>
        <v>881</v>
      </c>
      <c r="CP34" s="54">
        <v>935</v>
      </c>
      <c r="CQ34" s="54">
        <v>1036</v>
      </c>
      <c r="CR34" s="55"/>
      <c r="CS34" s="55"/>
      <c r="CT34" s="55"/>
      <c r="CU34" s="55"/>
      <c r="CV34" s="55"/>
      <c r="CW34" s="64">
        <v>0.4444444444444444</v>
      </c>
      <c r="CX34" s="64">
        <v>0.8344827586206897</v>
      </c>
      <c r="CY34" s="55">
        <v>0.5161290322580645</v>
      </c>
      <c r="CZ34" s="55">
        <v>0.7401129943502824</v>
      </c>
      <c r="DA34" s="55">
        <v>0.5909090909090909</v>
      </c>
      <c r="DB34" s="55">
        <v>0.6831683168316832</v>
      </c>
      <c r="DC34" s="55">
        <v>0.59</v>
      </c>
      <c r="DD34" s="55">
        <v>0.68</v>
      </c>
      <c r="DE34" s="55">
        <v>0.45</v>
      </c>
      <c r="DF34" s="55">
        <v>0.65</v>
      </c>
      <c r="DG34" s="55">
        <v>0.52</v>
      </c>
      <c r="DH34" s="55">
        <v>0.72</v>
      </c>
      <c r="DI34" s="55">
        <v>0.27</v>
      </c>
      <c r="DJ34" s="55">
        <v>0.65</v>
      </c>
      <c r="DK34" s="55">
        <v>0.31</v>
      </c>
      <c r="DL34" s="55">
        <v>0.59</v>
      </c>
      <c r="DM34" s="55">
        <v>0.35</v>
      </c>
      <c r="DN34" s="55">
        <v>0.65</v>
      </c>
      <c r="DO34" s="55">
        <v>0.4</v>
      </c>
      <c r="DP34" s="55">
        <v>0.6114649681528662</v>
      </c>
      <c r="DQ34" s="55">
        <v>0.4090909090909091</v>
      </c>
      <c r="DR34" s="55">
        <v>0.5698324022346368</v>
      </c>
      <c r="DS34" s="55">
        <v>0.32</v>
      </c>
      <c r="DT34" s="55">
        <v>0.77</v>
      </c>
      <c r="DU34" s="55">
        <v>0.39</v>
      </c>
      <c r="DV34" s="55">
        <v>0.71</v>
      </c>
      <c r="DW34" s="55">
        <v>0.5238095238095238</v>
      </c>
      <c r="DX34" s="55">
        <v>0.89</v>
      </c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2.75">
      <c r="A35" s="47" t="s">
        <v>38</v>
      </c>
      <c r="B35" s="9" t="s">
        <v>201</v>
      </c>
      <c r="C35" s="39" t="s">
        <v>7</v>
      </c>
      <c r="D35" s="39">
        <v>5071700019</v>
      </c>
      <c r="E35" s="39">
        <v>551100030</v>
      </c>
      <c r="F35" s="26" t="s">
        <v>84</v>
      </c>
      <c r="G35" s="10" t="s">
        <v>318</v>
      </c>
      <c r="H35" s="10" t="s">
        <v>67</v>
      </c>
      <c r="I35" s="10" t="s">
        <v>163</v>
      </c>
      <c r="J35" s="10" t="s">
        <v>169</v>
      </c>
      <c r="K35" s="61">
        <v>1</v>
      </c>
      <c r="L35" s="75" t="s">
        <v>22</v>
      </c>
      <c r="M35" s="62" t="s">
        <v>21</v>
      </c>
      <c r="N35" s="62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62">
        <v>0.1951219512195122</v>
      </c>
      <c r="AA35" s="62">
        <v>0.2777777777777778</v>
      </c>
      <c r="AB35" s="62">
        <v>0.3182</v>
      </c>
      <c r="AC35" s="62">
        <v>0.125</v>
      </c>
      <c r="AD35" s="62">
        <v>0.3226</v>
      </c>
      <c r="AE35" s="62">
        <v>0.2857</v>
      </c>
      <c r="AF35" s="62">
        <v>0.625</v>
      </c>
      <c r="AG35" s="84"/>
      <c r="AH35" s="62">
        <v>0.24</v>
      </c>
      <c r="AI35" s="62">
        <v>0.5</v>
      </c>
      <c r="AJ35" s="62">
        <v>0.4138</v>
      </c>
      <c r="AK35" s="80">
        <v>0.2667</v>
      </c>
      <c r="AL35" s="62">
        <v>0.3659</v>
      </c>
      <c r="AM35" s="62">
        <v>0.2143</v>
      </c>
      <c r="AN35" s="62">
        <v>0.3</v>
      </c>
      <c r="AO35" s="62">
        <v>0.26666666666666666</v>
      </c>
      <c r="AP35" s="81">
        <v>0.4167</v>
      </c>
      <c r="AQ35" s="81">
        <v>0.2</v>
      </c>
      <c r="AR35" s="81">
        <v>0.59375</v>
      </c>
      <c r="AS35" s="81">
        <v>0.3333333333333333</v>
      </c>
      <c r="AT35" s="81">
        <v>0.23076923076923078</v>
      </c>
      <c r="AU35" s="81">
        <v>0.2222222222222222</v>
      </c>
      <c r="AV35" s="81">
        <v>0.14285714285714285</v>
      </c>
      <c r="AW35" s="81">
        <v>0.333</v>
      </c>
      <c r="AX35" s="81">
        <v>0.3438</v>
      </c>
      <c r="AY35" s="81">
        <v>0.2857</v>
      </c>
      <c r="AZ35" s="81">
        <v>0.2333</v>
      </c>
      <c r="BA35" s="81">
        <v>0.3333333333333333</v>
      </c>
      <c r="BB35" s="81">
        <v>0.3261</v>
      </c>
      <c r="BC35" s="60"/>
      <c r="BD35" s="60"/>
      <c r="BE35" s="60"/>
      <c r="BF35" s="60"/>
      <c r="BG35" s="62"/>
      <c r="BH35" s="62"/>
      <c r="BI35" s="62">
        <f>AVERAGE(AA35:AB35)</f>
        <v>0.29798888888888886</v>
      </c>
      <c r="BJ35" s="62">
        <f>AVERAGE(AC35:AD35)</f>
        <v>0.2238</v>
      </c>
      <c r="BK35" s="62">
        <f>AVERAGE(AE35:AF35)</f>
        <v>0.45535000000000003</v>
      </c>
      <c r="BL35" s="62">
        <f>AVERAGE(AG35:AH35)</f>
        <v>0.24</v>
      </c>
      <c r="BM35" s="62">
        <f>AVERAGE(AI35:AJ35)</f>
        <v>0.4569</v>
      </c>
      <c r="BN35" s="62">
        <f>AVERAGE(AK35:AL35)</f>
        <v>0.3163</v>
      </c>
      <c r="BO35" s="62">
        <f>AVERAGE(AM35:AN35)</f>
        <v>0.25715</v>
      </c>
      <c r="BP35" s="62">
        <f aca="true" t="shared" si="9" ref="BP35:BT36">AVERAGE(AN35:AO35)</f>
        <v>0.2833333333333333</v>
      </c>
      <c r="BQ35" s="62">
        <f t="shared" si="9"/>
        <v>0.34168333333333334</v>
      </c>
      <c r="BR35" s="62">
        <f t="shared" si="9"/>
        <v>0.30835</v>
      </c>
      <c r="BS35" s="62">
        <f t="shared" si="9"/>
        <v>0.396875</v>
      </c>
      <c r="BT35" s="62">
        <f t="shared" si="9"/>
        <v>0.46354166666666663</v>
      </c>
      <c r="BU35" s="62">
        <f>AVERAGE(AY35:AZ35)</f>
        <v>0.2595</v>
      </c>
      <c r="BV35" s="62">
        <f>AVERAGE(BA35:BB35)</f>
        <v>0.32971666666666666</v>
      </c>
      <c r="BW35" s="78"/>
      <c r="BX35" s="78"/>
      <c r="BY35" s="54">
        <v>53</v>
      </c>
      <c r="BZ35" s="54">
        <v>87</v>
      </c>
      <c r="CA35" s="54">
        <v>90</v>
      </c>
      <c r="CB35" s="54">
        <v>77</v>
      </c>
      <c r="CC35" s="54">
        <v>100</v>
      </c>
      <c r="CD35" s="44">
        <v>119</v>
      </c>
      <c r="CE35" s="54">
        <v>142</v>
      </c>
      <c r="CF35" s="54">
        <v>149</v>
      </c>
      <c r="CG35" s="54">
        <f>124+15</f>
        <v>139</v>
      </c>
      <c r="CH35" s="54">
        <f>147+23</f>
        <v>170</v>
      </c>
      <c r="CI35" s="54">
        <f>162+9</f>
        <v>171</v>
      </c>
      <c r="CJ35" s="54">
        <f>165+15</f>
        <v>180</v>
      </c>
      <c r="CK35" s="54">
        <f>161+14</f>
        <v>175</v>
      </c>
      <c r="CL35" s="54">
        <f>162+17</f>
        <v>179</v>
      </c>
      <c r="CM35" s="54">
        <f>161+16</f>
        <v>177</v>
      </c>
      <c r="CN35" s="54">
        <f>152+23</f>
        <v>175</v>
      </c>
      <c r="CO35" s="54">
        <f>201+21</f>
        <v>222</v>
      </c>
      <c r="CP35" s="54">
        <v>239</v>
      </c>
      <c r="CQ35" s="54">
        <v>217</v>
      </c>
      <c r="CR35" s="76"/>
      <c r="CS35" s="55">
        <v>0.46</v>
      </c>
      <c r="CT35" s="55">
        <v>0.43</v>
      </c>
      <c r="CU35" s="55">
        <v>0.55</v>
      </c>
      <c r="CV35" s="55">
        <v>0.88</v>
      </c>
      <c r="CW35" s="64">
        <v>0.88</v>
      </c>
      <c r="CX35" s="64">
        <v>0.6</v>
      </c>
      <c r="CY35" s="55">
        <v>0.5</v>
      </c>
      <c r="CZ35" s="55">
        <v>0.83</v>
      </c>
      <c r="DA35" s="55">
        <v>0.73</v>
      </c>
      <c r="DB35" s="55">
        <v>0.76</v>
      </c>
      <c r="DC35" s="66"/>
      <c r="DD35" s="55">
        <v>0.6</v>
      </c>
      <c r="DE35" s="55">
        <v>0.87</v>
      </c>
      <c r="DF35" s="55">
        <v>0.88</v>
      </c>
      <c r="DG35" s="55">
        <v>0.6</v>
      </c>
      <c r="DH35" s="55">
        <v>0.84</v>
      </c>
      <c r="DI35" s="55">
        <v>0.75</v>
      </c>
      <c r="DJ35" s="55">
        <v>0.72</v>
      </c>
      <c r="DK35" s="55">
        <v>0.6666666666666666</v>
      </c>
      <c r="DL35" s="55">
        <v>0.43</v>
      </c>
      <c r="DM35" s="55">
        <v>0.8</v>
      </c>
      <c r="DN35" s="55">
        <v>0.94</v>
      </c>
      <c r="DO35" s="55">
        <v>0.6428571428571429</v>
      </c>
      <c r="DP35" s="55">
        <v>0.7</v>
      </c>
      <c r="DQ35" s="55">
        <v>0.8666666666666667</v>
      </c>
      <c r="DR35" s="55">
        <v>0.6739130434782609</v>
      </c>
      <c r="DS35" s="55">
        <v>0.56</v>
      </c>
      <c r="DT35" s="55">
        <v>0.62</v>
      </c>
      <c r="DU35" s="55">
        <v>0.48</v>
      </c>
      <c r="DV35" s="55">
        <v>0.78</v>
      </c>
      <c r="DW35" s="55">
        <v>0.6111111111111112</v>
      </c>
      <c r="DX35" s="55">
        <v>0.73</v>
      </c>
      <c r="DY35" s="122">
        <v>0.25</v>
      </c>
      <c r="DZ35" s="122">
        <v>0.5</v>
      </c>
      <c r="EA35" s="124">
        <v>0.552</v>
      </c>
      <c r="EB35" s="124">
        <v>1</v>
      </c>
      <c r="EC35" s="122">
        <v>0.4</v>
      </c>
      <c r="ED35" s="122">
        <v>1</v>
      </c>
      <c r="EE35" s="124">
        <v>0.463</v>
      </c>
      <c r="EF35" s="124">
        <v>0.905</v>
      </c>
      <c r="EG35" s="122">
        <v>0.214</v>
      </c>
      <c r="EH35" s="122">
        <v>0.75</v>
      </c>
      <c r="EI35" s="124">
        <v>0.367</v>
      </c>
      <c r="EJ35" s="124">
        <v>0.786</v>
      </c>
      <c r="EK35" s="122">
        <v>0.333</v>
      </c>
      <c r="EL35" s="122">
        <v>0.714</v>
      </c>
      <c r="EM35" s="124">
        <v>0.458</v>
      </c>
      <c r="EN35" s="124">
        <v>1</v>
      </c>
      <c r="EO35" s="122">
        <v>0.3333333333333333</v>
      </c>
      <c r="EP35" s="122">
        <v>1</v>
      </c>
      <c r="EQ35" s="124">
        <v>0.375</v>
      </c>
      <c r="ER35" s="124">
        <v>0.5</v>
      </c>
      <c r="ES35" s="122">
        <v>0.292</v>
      </c>
      <c r="ET35" s="122">
        <v>0.778</v>
      </c>
      <c r="EU35" s="123">
        <v>0.205</v>
      </c>
      <c r="EV35" s="123">
        <v>0.889</v>
      </c>
      <c r="EW35" s="122">
        <v>0.222</v>
      </c>
      <c r="EX35" s="122">
        <v>0.4</v>
      </c>
      <c r="EY35" s="124">
        <v>0.086</v>
      </c>
      <c r="EZ35" s="124">
        <v>0.273</v>
      </c>
      <c r="FA35" s="122">
        <v>0.133</v>
      </c>
      <c r="FB35" s="122">
        <v>0.286</v>
      </c>
      <c r="FC35" s="124">
        <v>0.219</v>
      </c>
      <c r="FD35" s="124">
        <v>0.368</v>
      </c>
      <c r="FE35" s="122">
        <v>0.071</v>
      </c>
      <c r="FF35" s="122">
        <v>0.14285714285714285</v>
      </c>
      <c r="FG35" s="124">
        <v>0.033</v>
      </c>
      <c r="FH35" s="124">
        <v>0.083</v>
      </c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2.75">
      <c r="A36" s="47" t="s">
        <v>38</v>
      </c>
      <c r="B36" s="9" t="s">
        <v>201</v>
      </c>
      <c r="C36" s="39" t="s">
        <v>11</v>
      </c>
      <c r="D36" s="39">
        <v>5042000002</v>
      </c>
      <c r="E36" s="39">
        <v>533000003</v>
      </c>
      <c r="F36" s="26" t="s">
        <v>97</v>
      </c>
      <c r="G36" s="10" t="s">
        <v>318</v>
      </c>
      <c r="H36" s="10" t="s">
        <v>65</v>
      </c>
      <c r="I36" s="10" t="s">
        <v>166</v>
      </c>
      <c r="J36" s="10" t="s">
        <v>172</v>
      </c>
      <c r="K36" s="61">
        <v>1</v>
      </c>
      <c r="L36" s="75" t="s">
        <v>22</v>
      </c>
      <c r="M36" s="62" t="s">
        <v>21</v>
      </c>
      <c r="N36" s="62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62">
        <v>0.3333333333333333</v>
      </c>
      <c r="AA36" s="62">
        <v>0.391304347826087</v>
      </c>
      <c r="AB36" s="62">
        <v>0.4545</v>
      </c>
      <c r="AC36" s="62">
        <v>0.4444</v>
      </c>
      <c r="AD36" s="62">
        <v>0.4815</v>
      </c>
      <c r="AE36" s="62">
        <v>0.5714</v>
      </c>
      <c r="AF36" s="62">
        <v>0.5</v>
      </c>
      <c r="AG36" s="68"/>
      <c r="AH36" s="62">
        <v>0.3478</v>
      </c>
      <c r="AI36" s="62">
        <v>0.375</v>
      </c>
      <c r="AJ36" s="80">
        <v>0.3913</v>
      </c>
      <c r="AK36" s="68"/>
      <c r="AL36" s="62">
        <v>0.4667</v>
      </c>
      <c r="AM36" s="68"/>
      <c r="AN36" s="62">
        <v>0.6774</v>
      </c>
      <c r="AO36" s="68"/>
      <c r="AP36" s="81">
        <v>0.5455</v>
      </c>
      <c r="AQ36" s="81">
        <v>0.6923076923076923</v>
      </c>
      <c r="AR36" s="81">
        <v>0.43333333333333335</v>
      </c>
      <c r="AS36" s="81">
        <v>0.3888888888888889</v>
      </c>
      <c r="AT36" s="81">
        <v>0.5</v>
      </c>
      <c r="AU36" s="81">
        <v>0.2</v>
      </c>
      <c r="AV36" s="81">
        <v>0.59375</v>
      </c>
      <c r="AW36" s="84"/>
      <c r="AX36" s="81">
        <v>0.1538</v>
      </c>
      <c r="AY36" s="81">
        <v>0.2727</v>
      </c>
      <c r="AZ36" s="81">
        <v>0.5667</v>
      </c>
      <c r="BA36" s="81">
        <v>0.25</v>
      </c>
      <c r="BB36" s="81">
        <v>0.375</v>
      </c>
      <c r="BC36" s="60"/>
      <c r="BD36" s="60"/>
      <c r="BE36" s="60"/>
      <c r="BF36" s="60"/>
      <c r="BG36" s="62"/>
      <c r="BH36" s="62"/>
      <c r="BI36" s="62">
        <f>AVERAGE(AA36:AB36)</f>
        <v>0.4229021739130435</v>
      </c>
      <c r="BJ36" s="62">
        <f>AVERAGE(AC36:AD36)</f>
        <v>0.46295</v>
      </c>
      <c r="BK36" s="62">
        <f>AVERAGE(AE36:AF36)</f>
        <v>0.5357000000000001</v>
      </c>
      <c r="BL36" s="62">
        <f>AVERAGE(AG36:AH36)</f>
        <v>0.3478</v>
      </c>
      <c r="BM36" s="62">
        <f>AVERAGE(AI36:AJ36)</f>
        <v>0.38315</v>
      </c>
      <c r="BN36" s="62">
        <f>AVERAGE(AJ36:AL36)</f>
        <v>0.429</v>
      </c>
      <c r="BO36" s="62">
        <f>AVERAGE(AM36:AN36)</f>
        <v>0.6774</v>
      </c>
      <c r="BP36" s="62">
        <f t="shared" si="9"/>
        <v>0.6774</v>
      </c>
      <c r="BQ36" s="62">
        <f t="shared" si="9"/>
        <v>0.5455</v>
      </c>
      <c r="BR36" s="62">
        <f t="shared" si="9"/>
        <v>0.6189038461538461</v>
      </c>
      <c r="BS36" s="62">
        <f t="shared" si="9"/>
        <v>0.5628205128205128</v>
      </c>
      <c r="BT36" s="62">
        <f t="shared" si="9"/>
        <v>0.4111111111111111</v>
      </c>
      <c r="BU36" s="62">
        <f>AVERAGE(AY36:AZ36)</f>
        <v>0.41969999999999996</v>
      </c>
      <c r="BV36" s="62">
        <f>AVERAGE(BA36:BB36)</f>
        <v>0.3125</v>
      </c>
      <c r="BW36" s="78"/>
      <c r="BX36" s="78"/>
      <c r="BY36" s="54">
        <v>72</v>
      </c>
      <c r="BZ36" s="54">
        <v>117</v>
      </c>
      <c r="CA36" s="54">
        <v>127</v>
      </c>
      <c r="CB36" s="54">
        <v>115</v>
      </c>
      <c r="CC36" s="54">
        <v>139</v>
      </c>
      <c r="CD36" s="44">
        <v>117</v>
      </c>
      <c r="CE36" s="54">
        <v>85</v>
      </c>
      <c r="CF36" s="54">
        <v>85</v>
      </c>
      <c r="CG36" s="54">
        <f>98+13</f>
        <v>111</v>
      </c>
      <c r="CH36" s="54">
        <f>121+18</f>
        <v>139</v>
      </c>
      <c r="CI36" s="54">
        <f>136+10</f>
        <v>146</v>
      </c>
      <c r="CJ36" s="54">
        <f>150</f>
        <v>150</v>
      </c>
      <c r="CK36" s="54">
        <f>152+11</f>
        <v>163</v>
      </c>
      <c r="CL36" s="54">
        <f>143+8</f>
        <v>151</v>
      </c>
      <c r="CM36" s="54">
        <f>126+26</f>
        <v>152</v>
      </c>
      <c r="CN36" s="54">
        <f>121+17</f>
        <v>138</v>
      </c>
      <c r="CO36" s="54">
        <f>147+24</f>
        <v>171</v>
      </c>
      <c r="CP36" s="54">
        <v>185</v>
      </c>
      <c r="CQ36" s="54">
        <v>165</v>
      </c>
      <c r="CR36" s="76"/>
      <c r="CS36" s="55">
        <v>0.78</v>
      </c>
      <c r="CT36" s="55">
        <v>0.66</v>
      </c>
      <c r="CU36" s="55">
        <v>0.89</v>
      </c>
      <c r="CV36" s="55">
        <v>0.67</v>
      </c>
      <c r="CW36" s="64">
        <v>0.67</v>
      </c>
      <c r="CX36" s="64">
        <v>0.52</v>
      </c>
      <c r="CY36" s="55">
        <v>0.5</v>
      </c>
      <c r="CZ36" s="55">
        <v>0.7</v>
      </c>
      <c r="DA36" s="66"/>
      <c r="DB36" s="55">
        <v>0.5</v>
      </c>
      <c r="DC36" s="66"/>
      <c r="DD36" s="55">
        <v>0.9</v>
      </c>
      <c r="DE36" s="66"/>
      <c r="DF36" s="55">
        <v>0.85</v>
      </c>
      <c r="DG36" s="55">
        <v>0.77</v>
      </c>
      <c r="DH36" s="55">
        <v>0.83</v>
      </c>
      <c r="DI36" s="55">
        <v>0.67</v>
      </c>
      <c r="DJ36" s="55">
        <v>0.83</v>
      </c>
      <c r="DK36" s="55">
        <v>0.5</v>
      </c>
      <c r="DL36" s="55">
        <v>0.63</v>
      </c>
      <c r="DM36" s="66"/>
      <c r="DN36" s="55">
        <v>0.59</v>
      </c>
      <c r="DO36" s="55">
        <v>0.6363636363636364</v>
      </c>
      <c r="DP36" s="55">
        <v>0.8</v>
      </c>
      <c r="DQ36" s="55">
        <v>0.625</v>
      </c>
      <c r="DR36" s="55">
        <v>0.625</v>
      </c>
      <c r="DS36" s="55">
        <v>0.68</v>
      </c>
      <c r="DT36" s="55">
        <v>0.43</v>
      </c>
      <c r="DU36" s="55">
        <v>0.59</v>
      </c>
      <c r="DV36" s="55">
        <v>0.6</v>
      </c>
      <c r="DW36" s="55">
        <v>0.6521739130434783</v>
      </c>
      <c r="DX36" s="55">
        <v>0.68</v>
      </c>
      <c r="DY36" s="122" t="s">
        <v>211</v>
      </c>
      <c r="DZ36" s="122" t="s">
        <v>211</v>
      </c>
      <c r="EA36" s="123" t="s">
        <v>211</v>
      </c>
      <c r="EB36" s="123" t="s">
        <v>211</v>
      </c>
      <c r="EC36" s="122" t="s">
        <v>211</v>
      </c>
      <c r="ED36" s="122" t="s">
        <v>211</v>
      </c>
      <c r="EE36" s="123" t="s">
        <v>211</v>
      </c>
      <c r="EF36" s="123" t="s">
        <v>211</v>
      </c>
      <c r="EG36" s="122">
        <v>0.375</v>
      </c>
      <c r="EH36" s="122">
        <v>1</v>
      </c>
      <c r="EI36" s="124">
        <v>0.348</v>
      </c>
      <c r="EJ36" s="124">
        <v>0.8</v>
      </c>
      <c r="EK36" s="122">
        <v>0.533</v>
      </c>
      <c r="EL36" s="122">
        <v>1</v>
      </c>
      <c r="EM36" s="124">
        <v>0.677</v>
      </c>
      <c r="EN36" s="124">
        <v>0.913</v>
      </c>
      <c r="EO36" s="122">
        <v>0.606</v>
      </c>
      <c r="EP36" s="122">
        <v>1</v>
      </c>
      <c r="EQ36" s="123">
        <v>0.538</v>
      </c>
      <c r="ER36" s="123">
        <v>0.778</v>
      </c>
      <c r="ES36" s="122">
        <v>0.4</v>
      </c>
      <c r="ET36" s="122">
        <v>0.667</v>
      </c>
      <c r="EU36" s="123">
        <v>0.444</v>
      </c>
      <c r="EV36" s="123">
        <v>0.889</v>
      </c>
      <c r="EW36" s="133">
        <v>0.667</v>
      </c>
      <c r="EX36" s="133">
        <v>0.941</v>
      </c>
      <c r="EY36" s="123">
        <v>0.2</v>
      </c>
      <c r="EZ36" s="123">
        <v>0.667</v>
      </c>
      <c r="FA36" s="122">
        <v>0.469</v>
      </c>
      <c r="FB36" s="122">
        <v>0.75</v>
      </c>
      <c r="FC36" s="123">
        <v>0.103</v>
      </c>
      <c r="FD36" s="123">
        <v>0.267</v>
      </c>
      <c r="FE36" s="122">
        <v>0.182</v>
      </c>
      <c r="FF36" s="122">
        <v>0.5</v>
      </c>
      <c r="FG36" s="123">
        <v>0.1</v>
      </c>
      <c r="FH36" s="123">
        <v>0.158</v>
      </c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2.75">
      <c r="A37" s="47" t="s">
        <v>38</v>
      </c>
      <c r="B37" s="9" t="s">
        <v>201</v>
      </c>
      <c r="C37" s="39" t="s">
        <v>9</v>
      </c>
      <c r="D37" s="49">
        <v>5091100006</v>
      </c>
      <c r="E37" s="39">
        <v>571101006</v>
      </c>
      <c r="F37" s="10" t="s">
        <v>127</v>
      </c>
      <c r="G37" s="10" t="s">
        <v>318</v>
      </c>
      <c r="H37" s="10"/>
      <c r="I37" s="10" t="s">
        <v>165</v>
      </c>
      <c r="J37" s="10" t="s">
        <v>170</v>
      </c>
      <c r="K37" s="61"/>
      <c r="L37" s="75"/>
      <c r="M37" s="62"/>
      <c r="N37" s="62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2"/>
      <c r="AA37" s="62"/>
      <c r="AB37" s="62"/>
      <c r="AC37" s="62"/>
      <c r="AD37" s="62"/>
      <c r="AE37" s="62"/>
      <c r="AF37" s="62"/>
      <c r="AG37" s="68"/>
      <c r="AH37" s="62"/>
      <c r="AI37" s="62"/>
      <c r="AJ37" s="62"/>
      <c r="AK37" s="80"/>
      <c r="AL37" s="62"/>
      <c r="AM37" s="68"/>
      <c r="AN37" s="62"/>
      <c r="AO37" s="68"/>
      <c r="AP37" s="81"/>
      <c r="AQ37" s="81"/>
      <c r="AR37" s="81"/>
      <c r="AS37" s="81"/>
      <c r="AT37" s="81"/>
      <c r="AU37" s="76" t="s">
        <v>211</v>
      </c>
      <c r="AV37" s="76" t="s">
        <v>211</v>
      </c>
      <c r="AW37" s="76" t="s">
        <v>211</v>
      </c>
      <c r="AX37" s="76"/>
      <c r="AY37" s="76"/>
      <c r="AZ37" s="76"/>
      <c r="BA37" s="76"/>
      <c r="BB37" s="76"/>
      <c r="BC37" s="60"/>
      <c r="BD37" s="60"/>
      <c r="BE37" s="60"/>
      <c r="BF37" s="60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78"/>
      <c r="BX37" s="78"/>
      <c r="BY37" s="54"/>
      <c r="BZ37" s="54"/>
      <c r="CA37" s="54"/>
      <c r="CB37" s="54"/>
      <c r="CC37" s="54"/>
      <c r="CD37" s="44"/>
      <c r="CE37" s="54"/>
      <c r="CF37" s="54"/>
      <c r="CG37" s="54"/>
      <c r="CH37" s="54"/>
      <c r="CI37" s="54"/>
      <c r="CJ37" s="54"/>
      <c r="CK37" s="54"/>
      <c r="CL37" s="54">
        <f>34+34</f>
        <v>68</v>
      </c>
      <c r="CM37" s="54">
        <f>94+35</f>
        <v>129</v>
      </c>
      <c r="CN37" s="54">
        <f>143+35</f>
        <v>178</v>
      </c>
      <c r="CO37" s="54">
        <f>144+33</f>
        <v>177</v>
      </c>
      <c r="CP37" s="54">
        <v>179</v>
      </c>
      <c r="CQ37" s="54">
        <v>142</v>
      </c>
      <c r="CR37" s="76"/>
      <c r="CS37" s="55"/>
      <c r="CT37" s="55"/>
      <c r="CU37" s="55"/>
      <c r="CV37" s="55"/>
      <c r="CW37" s="64"/>
      <c r="CX37" s="64"/>
      <c r="CY37" s="55"/>
      <c r="CZ37" s="55"/>
      <c r="DA37" s="66"/>
      <c r="DB37" s="55"/>
      <c r="DC37" s="66"/>
      <c r="DD37" s="55"/>
      <c r="DE37" s="66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>
        <v>0.7878787878787878</v>
      </c>
      <c r="DQ37" s="126">
        <v>0.9705882352941176</v>
      </c>
      <c r="DR37" s="126">
        <v>0.9117647058823529</v>
      </c>
      <c r="DS37" s="126">
        <v>0.91</v>
      </c>
      <c r="DT37" s="126">
        <v>0.87</v>
      </c>
      <c r="DU37" s="126">
        <v>0.82</v>
      </c>
      <c r="DV37" s="126">
        <v>0.94</v>
      </c>
      <c r="DW37" s="55">
        <v>0.9333333333333333</v>
      </c>
      <c r="DX37" s="55">
        <v>0.85</v>
      </c>
      <c r="DY37" s="122" t="s">
        <v>211</v>
      </c>
      <c r="DZ37" s="122" t="s">
        <v>211</v>
      </c>
      <c r="EA37" s="123" t="s">
        <v>211</v>
      </c>
      <c r="EB37" s="123" t="s">
        <v>211</v>
      </c>
      <c r="EC37" s="122" t="s">
        <v>211</v>
      </c>
      <c r="ED37" s="122" t="s">
        <v>211</v>
      </c>
      <c r="EE37" s="123" t="s">
        <v>211</v>
      </c>
      <c r="EF37" s="123" t="s">
        <v>211</v>
      </c>
      <c r="EG37" s="122" t="s">
        <v>211</v>
      </c>
      <c r="EH37" s="122" t="s">
        <v>211</v>
      </c>
      <c r="EI37" s="123" t="s">
        <v>211</v>
      </c>
      <c r="EJ37" s="123" t="s">
        <v>211</v>
      </c>
      <c r="EK37" s="122" t="s">
        <v>211</v>
      </c>
      <c r="EL37" s="122" t="s">
        <v>211</v>
      </c>
      <c r="EM37" s="123" t="s">
        <v>211</v>
      </c>
      <c r="EN37" s="123" t="s">
        <v>211</v>
      </c>
      <c r="EO37" s="122" t="s">
        <v>211</v>
      </c>
      <c r="EP37" s="122" t="s">
        <v>211</v>
      </c>
      <c r="EQ37" s="123" t="s">
        <v>211</v>
      </c>
      <c r="ER37" s="123" t="s">
        <v>211</v>
      </c>
      <c r="ES37" s="122" t="s">
        <v>211</v>
      </c>
      <c r="ET37" s="122" t="s">
        <v>211</v>
      </c>
      <c r="EU37" s="123" t="s">
        <v>211</v>
      </c>
      <c r="EV37" s="123" t="s">
        <v>211</v>
      </c>
      <c r="EW37" s="122" t="s">
        <v>211</v>
      </c>
      <c r="EX37" s="122" t="s">
        <v>211</v>
      </c>
      <c r="EY37" s="123" t="s">
        <v>211</v>
      </c>
      <c r="EZ37" s="123" t="s">
        <v>211</v>
      </c>
      <c r="FA37" s="122" t="s">
        <v>211</v>
      </c>
      <c r="FB37" s="122" t="s">
        <v>211</v>
      </c>
      <c r="FC37" s="123" t="s">
        <v>211</v>
      </c>
      <c r="FD37" s="123" t="s">
        <v>211</v>
      </c>
      <c r="FE37" s="122"/>
      <c r="FF37" s="122"/>
      <c r="FG37" s="123"/>
      <c r="FH37" s="123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2.75">
      <c r="A38" s="47" t="s">
        <v>38</v>
      </c>
      <c r="B38" s="9" t="s">
        <v>201</v>
      </c>
      <c r="C38" s="39" t="s">
        <v>7</v>
      </c>
      <c r="D38" s="49"/>
      <c r="E38" s="39"/>
      <c r="F38" s="10" t="s">
        <v>404</v>
      </c>
      <c r="G38" s="10" t="s">
        <v>321</v>
      </c>
      <c r="H38" s="10"/>
      <c r="I38" s="10"/>
      <c r="J38" s="10"/>
      <c r="K38" s="61"/>
      <c r="L38" s="75"/>
      <c r="M38" s="62"/>
      <c r="N38" s="62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62"/>
      <c r="AA38" s="62"/>
      <c r="AB38" s="62"/>
      <c r="AC38" s="62"/>
      <c r="AD38" s="62"/>
      <c r="AE38" s="62"/>
      <c r="AF38" s="62"/>
      <c r="AG38" s="68"/>
      <c r="AH38" s="62"/>
      <c r="AI38" s="62"/>
      <c r="AJ38" s="62"/>
      <c r="AK38" s="80"/>
      <c r="AL38" s="62"/>
      <c r="AM38" s="68"/>
      <c r="AN38" s="62"/>
      <c r="AO38" s="68"/>
      <c r="AP38" s="81"/>
      <c r="AQ38" s="81"/>
      <c r="AR38" s="81"/>
      <c r="AS38" s="81"/>
      <c r="AT38" s="81"/>
      <c r="AU38" s="76"/>
      <c r="AV38" s="76"/>
      <c r="AW38" s="76"/>
      <c r="AX38" s="76"/>
      <c r="AY38" s="76"/>
      <c r="AZ38" s="76"/>
      <c r="BA38" s="76"/>
      <c r="BB38" s="76"/>
      <c r="BC38" s="60"/>
      <c r="BD38" s="60"/>
      <c r="BE38" s="60"/>
      <c r="BF38" s="60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78"/>
      <c r="BX38" s="78"/>
      <c r="BY38" s="54"/>
      <c r="BZ38" s="54"/>
      <c r="CA38" s="54"/>
      <c r="CB38" s="54"/>
      <c r="CC38" s="54"/>
      <c r="CD38" s="4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>
        <v>5</v>
      </c>
      <c r="CP38" s="54">
        <v>7</v>
      </c>
      <c r="CQ38" s="54">
        <v>1</v>
      </c>
      <c r="CR38" s="76"/>
      <c r="CS38" s="55"/>
      <c r="CT38" s="55"/>
      <c r="CU38" s="55"/>
      <c r="CV38" s="55"/>
      <c r="CW38" s="64"/>
      <c r="CX38" s="64"/>
      <c r="CY38" s="55"/>
      <c r="CZ38" s="55"/>
      <c r="DA38" s="66"/>
      <c r="DB38" s="55"/>
      <c r="DC38" s="66"/>
      <c r="DD38" s="55"/>
      <c r="DE38" s="66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126"/>
      <c r="DR38" s="126"/>
      <c r="DS38" s="126"/>
      <c r="DT38" s="126"/>
      <c r="DU38" s="126"/>
      <c r="DV38" s="126"/>
      <c r="DW38" s="55"/>
      <c r="DX38" s="55"/>
      <c r="DY38" s="122"/>
      <c r="DZ38" s="122"/>
      <c r="EA38" s="123"/>
      <c r="EB38" s="123"/>
      <c r="EC38" s="122"/>
      <c r="ED38" s="122"/>
      <c r="EE38" s="123"/>
      <c r="EF38" s="123"/>
      <c r="EG38" s="122"/>
      <c r="EH38" s="122"/>
      <c r="EI38" s="123"/>
      <c r="EJ38" s="123"/>
      <c r="EK38" s="122"/>
      <c r="EL38" s="122"/>
      <c r="EM38" s="123"/>
      <c r="EN38" s="123"/>
      <c r="EO38" s="122"/>
      <c r="EP38" s="122"/>
      <c r="EQ38" s="123"/>
      <c r="ER38" s="123"/>
      <c r="ES38" s="122"/>
      <c r="ET38" s="122"/>
      <c r="EU38" s="123"/>
      <c r="EV38" s="123"/>
      <c r="EW38" s="122"/>
      <c r="EX38" s="122"/>
      <c r="EY38" s="123"/>
      <c r="EZ38" s="123"/>
      <c r="FA38" s="122"/>
      <c r="FB38" s="122"/>
      <c r="FC38" s="123"/>
      <c r="FD38" s="123"/>
      <c r="FE38" s="122"/>
      <c r="FF38" s="122"/>
      <c r="FG38" s="123"/>
      <c r="FH38" s="123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2.75">
      <c r="A39" s="47" t="s">
        <v>33</v>
      </c>
      <c r="B39" s="9" t="s">
        <v>227</v>
      </c>
      <c r="C39" s="39" t="s">
        <v>24</v>
      </c>
      <c r="D39" s="39" t="s">
        <v>285</v>
      </c>
      <c r="E39" s="39" t="s">
        <v>255</v>
      </c>
      <c r="F39" s="9" t="s">
        <v>25</v>
      </c>
      <c r="G39" s="9" t="s">
        <v>323</v>
      </c>
      <c r="H39" s="9" t="s">
        <v>61</v>
      </c>
      <c r="I39" s="9" t="s">
        <v>162</v>
      </c>
      <c r="J39" s="9" t="s">
        <v>174</v>
      </c>
      <c r="K39" s="79"/>
      <c r="L39" s="59"/>
      <c r="M39" s="60"/>
      <c r="N39" s="60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81">
        <v>0.4496</v>
      </c>
      <c r="AX39" s="81">
        <v>0.2439</v>
      </c>
      <c r="AY39" s="81">
        <v>0.4843</v>
      </c>
      <c r="AZ39" s="81">
        <v>0.2133</v>
      </c>
      <c r="BA39" s="81">
        <v>0.5803108808290155</v>
      </c>
      <c r="BB39" s="81">
        <v>0.93</v>
      </c>
      <c r="BC39" s="60"/>
      <c r="BD39" s="60"/>
      <c r="BE39" s="60"/>
      <c r="BF39" s="60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>
        <f>AVERAGE(AW39:AX39)</f>
        <v>0.34675</v>
      </c>
      <c r="BU39" s="62">
        <f>AVERAGE(AY39:AZ39)</f>
        <v>0.3488</v>
      </c>
      <c r="BV39" s="62">
        <f>AVERAGE(BA39:BB39)</f>
        <v>0.7551554404145078</v>
      </c>
      <c r="BW39" s="54"/>
      <c r="BX39" s="54"/>
      <c r="BY39" s="54"/>
      <c r="BZ39" s="54"/>
      <c r="CA39" s="54"/>
      <c r="CB39" s="54"/>
      <c r="CC39" s="54"/>
      <c r="CD39" s="44"/>
      <c r="CE39" s="54"/>
      <c r="CF39" s="54"/>
      <c r="CG39" s="54"/>
      <c r="CH39" s="54"/>
      <c r="CI39" s="54"/>
      <c r="CJ39" s="54"/>
      <c r="CK39" s="54"/>
      <c r="CL39" s="54">
        <f>107+42</f>
        <v>149</v>
      </c>
      <c r="CM39" s="54">
        <f>624+79</f>
        <v>703</v>
      </c>
      <c r="CN39" s="54">
        <f>878+125</f>
        <v>1003</v>
      </c>
      <c r="CO39" s="54">
        <f>1215+155</f>
        <v>1370</v>
      </c>
      <c r="CP39" s="54">
        <v>1497</v>
      </c>
      <c r="CQ39" s="54">
        <v>1600</v>
      </c>
      <c r="CR39" s="55"/>
      <c r="CS39" s="55"/>
      <c r="CT39" s="55"/>
      <c r="CU39" s="55"/>
      <c r="CV39" s="55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55">
        <v>0.8837209302325582</v>
      </c>
      <c r="DQ39" s="55">
        <v>0.5365853658536586</v>
      </c>
      <c r="DR39" s="55">
        <v>0.7984293193717278</v>
      </c>
      <c r="DS39" s="55">
        <v>0.48</v>
      </c>
      <c r="DT39" s="55">
        <v>0.81</v>
      </c>
      <c r="DU39" s="55">
        <v>0.7</v>
      </c>
      <c r="DV39" s="55">
        <v>0.9</v>
      </c>
      <c r="DW39" s="55">
        <v>0.7284768211920529</v>
      </c>
      <c r="DX39" s="55">
        <v>0.93</v>
      </c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2.75">
      <c r="A40" s="47" t="s">
        <v>33</v>
      </c>
      <c r="B40" s="9" t="s">
        <v>227</v>
      </c>
      <c r="C40" s="39" t="s">
        <v>7</v>
      </c>
      <c r="D40" s="39">
        <v>5062100015</v>
      </c>
      <c r="E40" s="39">
        <v>551700040</v>
      </c>
      <c r="F40" s="34" t="s">
        <v>342</v>
      </c>
      <c r="G40" s="10" t="s">
        <v>318</v>
      </c>
      <c r="H40" s="10" t="s">
        <v>67</v>
      </c>
      <c r="I40" s="10" t="s">
        <v>175</v>
      </c>
      <c r="J40" s="10" t="s">
        <v>169</v>
      </c>
      <c r="K40" s="61"/>
      <c r="L40" s="75"/>
      <c r="M40" s="83"/>
      <c r="N40" s="62"/>
      <c r="O40" s="76"/>
      <c r="P40" s="76"/>
      <c r="Q40" s="76"/>
      <c r="R40" s="76"/>
      <c r="S40" s="76"/>
      <c r="T40" s="76"/>
      <c r="U40" s="76"/>
      <c r="V40" s="76"/>
      <c r="W40" s="76"/>
      <c r="X40" s="62">
        <v>0.35</v>
      </c>
      <c r="Y40" s="62">
        <v>0.0286</v>
      </c>
      <c r="Z40" s="62">
        <v>0.2154</v>
      </c>
      <c r="AA40" s="62">
        <v>0.09090909090909091</v>
      </c>
      <c r="AB40" s="62">
        <v>0.11</v>
      </c>
      <c r="AC40" s="62">
        <v>0.0769</v>
      </c>
      <c r="AD40" s="62">
        <v>0.1899</v>
      </c>
      <c r="AE40" s="62">
        <v>0.3333</v>
      </c>
      <c r="AF40" s="62">
        <v>0.3225806451612903</v>
      </c>
      <c r="AG40" s="84"/>
      <c r="AH40" s="62">
        <v>0.2917</v>
      </c>
      <c r="AI40" s="62">
        <v>0.25</v>
      </c>
      <c r="AJ40" s="62">
        <v>0.4706</v>
      </c>
      <c r="AK40" s="80">
        <v>0.1333</v>
      </c>
      <c r="AL40" s="62">
        <v>0.5</v>
      </c>
      <c r="AM40" s="62">
        <v>0.6667</v>
      </c>
      <c r="AN40" s="62">
        <v>0.4545</v>
      </c>
      <c r="AO40" s="86"/>
      <c r="AP40" s="81">
        <v>0.3</v>
      </c>
      <c r="AQ40" s="81">
        <v>0.625</v>
      </c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60"/>
      <c r="BD40" s="60"/>
      <c r="BE40" s="60"/>
      <c r="BF40" s="60"/>
      <c r="BG40" s="62"/>
      <c r="BH40" s="62">
        <f>(Z40+Y40)/2</f>
        <v>0.122</v>
      </c>
      <c r="BI40" s="62">
        <f>AVERAGE(AA40:AB40)</f>
        <v>0.10045454545454546</v>
      </c>
      <c r="BJ40" s="62">
        <f>AVERAGE(AC40:AD40)</f>
        <v>0.13340000000000002</v>
      </c>
      <c r="BK40" s="62">
        <f>AVERAGE(AE40:AF40)</f>
        <v>0.32794032258064515</v>
      </c>
      <c r="BL40" s="62">
        <f>AVERAGE(AG40:AH40)</f>
        <v>0.2917</v>
      </c>
      <c r="BM40" s="62">
        <f>AVERAGE(AI40:AJ40)</f>
        <v>0.3603</v>
      </c>
      <c r="BN40" s="62">
        <f>AVERAGE(AK40:AL40)</f>
        <v>0.31665</v>
      </c>
      <c r="BO40" s="62">
        <f>AVERAGE(AM40:AN40)</f>
        <v>0.5606</v>
      </c>
      <c r="BP40" s="62">
        <f>AVERAGE(AN40:AO40)</f>
        <v>0.4545</v>
      </c>
      <c r="BQ40" s="62">
        <f>AVERAGE(AO40:AP40)</f>
        <v>0.3</v>
      </c>
      <c r="BR40" s="62">
        <f>AVERAGE(AP40:AQ40)</f>
        <v>0.4625</v>
      </c>
      <c r="BS40" s="62">
        <f>AVERAGE(AQ40:AR40)</f>
        <v>0.625</v>
      </c>
      <c r="BT40" s="62"/>
      <c r="BU40" s="62"/>
      <c r="BV40" s="62"/>
      <c r="BW40" s="78"/>
      <c r="BX40" s="54">
        <v>94</v>
      </c>
      <c r="BY40" s="54">
        <v>157</v>
      </c>
      <c r="BZ40" s="54">
        <v>195</v>
      </c>
      <c r="CA40" s="54">
        <v>225</v>
      </c>
      <c r="CB40" s="54">
        <v>164</v>
      </c>
      <c r="CC40" s="54">
        <v>165</v>
      </c>
      <c r="CD40" s="44">
        <v>150</v>
      </c>
      <c r="CE40" s="54">
        <v>142</v>
      </c>
      <c r="CF40" s="54">
        <v>113</v>
      </c>
      <c r="CG40" s="54">
        <f>116+9</f>
        <v>125</v>
      </c>
      <c r="CH40" s="54">
        <f>100</f>
        <v>100</v>
      </c>
      <c r="CI40" s="54">
        <v>66</v>
      </c>
      <c r="CJ40" s="54">
        <v>35</v>
      </c>
      <c r="CK40" s="54">
        <f>18</f>
        <v>18</v>
      </c>
      <c r="CL40" s="54">
        <v>2</v>
      </c>
      <c r="CM40" s="129"/>
      <c r="CN40" s="129">
        <v>0</v>
      </c>
      <c r="CO40" s="129"/>
      <c r="CP40" s="129"/>
      <c r="CQ40" s="129"/>
      <c r="CR40" s="55">
        <v>0.7</v>
      </c>
      <c r="CS40" s="55">
        <v>0.43</v>
      </c>
      <c r="CT40" s="55">
        <v>0.39</v>
      </c>
      <c r="CU40" s="55">
        <v>0.35</v>
      </c>
      <c r="CV40" s="55">
        <v>0.45</v>
      </c>
      <c r="CW40" s="64">
        <v>0.45</v>
      </c>
      <c r="CX40" s="64">
        <v>0.75</v>
      </c>
      <c r="CY40" s="55">
        <v>0.81</v>
      </c>
      <c r="CZ40" s="55">
        <v>0.82</v>
      </c>
      <c r="DA40" s="55">
        <v>0.87</v>
      </c>
      <c r="DB40" s="55">
        <v>0.73</v>
      </c>
      <c r="DC40" s="66"/>
      <c r="DD40" s="55">
        <v>0.77</v>
      </c>
      <c r="DE40" s="66"/>
      <c r="DF40" s="55">
        <v>0.6</v>
      </c>
      <c r="DG40" s="55">
        <v>1</v>
      </c>
      <c r="DH40" s="66"/>
      <c r="DI40" s="66"/>
      <c r="DJ40" s="66"/>
      <c r="DK40" s="66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22">
        <v>0.625</v>
      </c>
      <c r="DZ40" s="122">
        <v>0.8333333333333334</v>
      </c>
      <c r="EA40" s="124">
        <v>0.7058823529411765</v>
      </c>
      <c r="EB40" s="124">
        <v>1.2</v>
      </c>
      <c r="EC40" s="122">
        <v>0.5333333333333333</v>
      </c>
      <c r="ED40" s="122">
        <v>2</v>
      </c>
      <c r="EE40" s="124">
        <v>0.6923076923076923</v>
      </c>
      <c r="EF40" s="124">
        <v>1.125</v>
      </c>
      <c r="EG40" s="122">
        <v>0.8333333333333334</v>
      </c>
      <c r="EH40" s="122">
        <v>1</v>
      </c>
      <c r="EI40" s="124">
        <v>0.5</v>
      </c>
      <c r="EJ40" s="124">
        <v>1</v>
      </c>
      <c r="EK40" s="122" t="s">
        <v>211</v>
      </c>
      <c r="EL40" s="122" t="s">
        <v>211</v>
      </c>
      <c r="EM40" s="124">
        <v>0.3</v>
      </c>
      <c r="EN40" s="124">
        <v>0.75</v>
      </c>
      <c r="EO40" s="122">
        <v>0.75</v>
      </c>
      <c r="EP40" s="122">
        <v>1</v>
      </c>
      <c r="EQ40" s="132" t="s">
        <v>211</v>
      </c>
      <c r="ER40" s="132" t="s">
        <v>211</v>
      </c>
      <c r="ES40" s="131" t="s">
        <v>211</v>
      </c>
      <c r="ET40" s="131" t="s">
        <v>211</v>
      </c>
      <c r="EU40" s="132" t="s">
        <v>211</v>
      </c>
      <c r="EV40" s="132" t="s">
        <v>211</v>
      </c>
      <c r="EW40" s="131" t="s">
        <v>211</v>
      </c>
      <c r="EX40" s="131" t="s">
        <v>211</v>
      </c>
      <c r="EY40" s="132" t="s">
        <v>211</v>
      </c>
      <c r="EZ40" s="132" t="s">
        <v>211</v>
      </c>
      <c r="FA40" s="131" t="s">
        <v>211</v>
      </c>
      <c r="FB40" s="131" t="s">
        <v>211</v>
      </c>
      <c r="FC40" s="132" t="s">
        <v>211</v>
      </c>
      <c r="FD40" s="132" t="s">
        <v>211</v>
      </c>
      <c r="FE40" s="131" t="s">
        <v>211</v>
      </c>
      <c r="FF40" s="131" t="s">
        <v>211</v>
      </c>
      <c r="FG40" s="132" t="s">
        <v>211</v>
      </c>
      <c r="FH40" s="132" t="s">
        <v>211</v>
      </c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2.75">
      <c r="A41" s="47" t="s">
        <v>33</v>
      </c>
      <c r="B41" s="9" t="s">
        <v>227</v>
      </c>
      <c r="C41" s="39" t="s">
        <v>7</v>
      </c>
      <c r="D41" s="49">
        <v>5071300067</v>
      </c>
      <c r="E41" s="39"/>
      <c r="F41" s="26" t="s">
        <v>343</v>
      </c>
      <c r="G41" s="10" t="s">
        <v>318</v>
      </c>
      <c r="H41" s="10"/>
      <c r="I41" s="10"/>
      <c r="J41" s="10"/>
      <c r="K41" s="61"/>
      <c r="L41" s="75"/>
      <c r="M41" s="83"/>
      <c r="N41" s="62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84"/>
      <c r="AH41" s="62"/>
      <c r="AI41" s="62"/>
      <c r="AJ41" s="62"/>
      <c r="AK41" s="80"/>
      <c r="AL41" s="62"/>
      <c r="AM41" s="62"/>
      <c r="AN41" s="62"/>
      <c r="AO41" s="86"/>
      <c r="AP41" s="81"/>
      <c r="AQ41" s="81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60"/>
      <c r="BD41" s="60"/>
      <c r="BE41" s="60"/>
      <c r="BF41" s="60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78"/>
      <c r="BX41" s="54"/>
      <c r="BY41" s="54"/>
      <c r="BZ41" s="54"/>
      <c r="CA41" s="54"/>
      <c r="CB41" s="54"/>
      <c r="CC41" s="54"/>
      <c r="CD41" s="44"/>
      <c r="CE41" s="54"/>
      <c r="CF41" s="54"/>
      <c r="CG41" s="54"/>
      <c r="CH41" s="54"/>
      <c r="CI41" s="54"/>
      <c r="CJ41" s="54"/>
      <c r="CK41" s="54"/>
      <c r="CL41" s="54"/>
      <c r="CM41" s="54"/>
      <c r="CN41" s="54">
        <f>0+18</f>
        <v>18</v>
      </c>
      <c r="CO41" s="54">
        <f>57+17</f>
        <v>74</v>
      </c>
      <c r="CP41" s="54">
        <v>99</v>
      </c>
      <c r="CQ41" s="54">
        <v>102</v>
      </c>
      <c r="CR41" s="55"/>
      <c r="CS41" s="55"/>
      <c r="CT41" s="55"/>
      <c r="CU41" s="55"/>
      <c r="CV41" s="55"/>
      <c r="CW41" s="64"/>
      <c r="CX41" s="64"/>
      <c r="CY41" s="55"/>
      <c r="CZ41" s="55"/>
      <c r="DA41" s="55"/>
      <c r="DB41" s="55"/>
      <c r="DC41" s="66"/>
      <c r="DD41" s="55"/>
      <c r="DE41" s="66"/>
      <c r="DF41" s="55"/>
      <c r="DG41" s="55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55">
        <v>0.67</v>
      </c>
      <c r="DV41" s="55">
        <v>0.74</v>
      </c>
      <c r="DW41" s="55">
        <v>0.9333333333333333</v>
      </c>
      <c r="DX41" s="55">
        <v>0.67</v>
      </c>
      <c r="DY41" s="122" t="s">
        <v>211</v>
      </c>
      <c r="DZ41" s="122" t="s">
        <v>211</v>
      </c>
      <c r="EA41" s="124" t="s">
        <v>211</v>
      </c>
      <c r="EB41" s="124" t="s">
        <v>211</v>
      </c>
      <c r="EC41" s="122" t="s">
        <v>211</v>
      </c>
      <c r="ED41" s="122" t="s">
        <v>211</v>
      </c>
      <c r="EE41" s="124" t="s">
        <v>211</v>
      </c>
      <c r="EF41" s="124" t="s">
        <v>211</v>
      </c>
      <c r="EG41" s="122" t="s">
        <v>211</v>
      </c>
      <c r="EH41" s="122" t="s">
        <v>211</v>
      </c>
      <c r="EI41" s="124" t="s">
        <v>211</v>
      </c>
      <c r="EJ41" s="124" t="s">
        <v>211</v>
      </c>
      <c r="EK41" s="122" t="s">
        <v>211</v>
      </c>
      <c r="EL41" s="122" t="s">
        <v>211</v>
      </c>
      <c r="EM41" s="124" t="s">
        <v>211</v>
      </c>
      <c r="EN41" s="124" t="s">
        <v>211</v>
      </c>
      <c r="EO41" s="122" t="s">
        <v>211</v>
      </c>
      <c r="EP41" s="122" t="s">
        <v>211</v>
      </c>
      <c r="EQ41" s="124" t="s">
        <v>211</v>
      </c>
      <c r="ER41" s="124" t="s">
        <v>211</v>
      </c>
      <c r="ES41" s="122" t="s">
        <v>211</v>
      </c>
      <c r="ET41" s="122" t="s">
        <v>211</v>
      </c>
      <c r="EU41" s="124" t="s">
        <v>211</v>
      </c>
      <c r="EV41" s="124" t="s">
        <v>211</v>
      </c>
      <c r="EW41" s="122" t="s">
        <v>211</v>
      </c>
      <c r="EX41" s="122" t="s">
        <v>211</v>
      </c>
      <c r="EY41" s="124" t="s">
        <v>211</v>
      </c>
      <c r="EZ41" s="124" t="s">
        <v>211</v>
      </c>
      <c r="FA41" s="122" t="s">
        <v>211</v>
      </c>
      <c r="FB41" s="122" t="s">
        <v>211</v>
      </c>
      <c r="FC41" s="124" t="s">
        <v>211</v>
      </c>
      <c r="FD41" s="124" t="s">
        <v>211</v>
      </c>
      <c r="FE41" s="122" t="s">
        <v>211</v>
      </c>
      <c r="FF41" s="122" t="s">
        <v>211</v>
      </c>
      <c r="FG41" s="124" t="s">
        <v>211</v>
      </c>
      <c r="FH41" s="124" t="s">
        <v>211</v>
      </c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2.75">
      <c r="A42" s="47" t="s">
        <v>33</v>
      </c>
      <c r="B42" s="9" t="s">
        <v>227</v>
      </c>
      <c r="C42" s="39" t="s">
        <v>7</v>
      </c>
      <c r="D42" s="39">
        <v>5061000002</v>
      </c>
      <c r="E42" s="39">
        <v>551300022</v>
      </c>
      <c r="F42" s="26" t="s">
        <v>344</v>
      </c>
      <c r="G42" s="10" t="s">
        <v>318</v>
      </c>
      <c r="H42" s="10" t="s">
        <v>67</v>
      </c>
      <c r="I42" s="10" t="s">
        <v>175</v>
      </c>
      <c r="J42" s="10" t="s">
        <v>169</v>
      </c>
      <c r="K42" s="61"/>
      <c r="L42" s="75"/>
      <c r="M42" s="83"/>
      <c r="N42" s="62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81">
        <v>0.26666666666666666</v>
      </c>
      <c r="AS42" s="81">
        <v>0.23076923076923078</v>
      </c>
      <c r="AT42" s="81">
        <v>0.22857142857142856</v>
      </c>
      <c r="AU42" s="81">
        <v>0.3125</v>
      </c>
      <c r="AV42" s="81">
        <v>0.15</v>
      </c>
      <c r="AW42" s="81">
        <v>0.125</v>
      </c>
      <c r="AX42" s="81">
        <v>0.3667</v>
      </c>
      <c r="AY42" s="81">
        <v>0.1111</v>
      </c>
      <c r="AZ42" s="81">
        <v>0.2439</v>
      </c>
      <c r="BA42" s="81">
        <v>0.16666666666666666</v>
      </c>
      <c r="BB42" s="81">
        <v>0.1887</v>
      </c>
      <c r="BC42" s="50"/>
      <c r="BD42" s="50"/>
      <c r="BE42" s="60"/>
      <c r="BF42" s="60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>
        <f>AVERAGE(AQ42:AR42)</f>
        <v>0.26666666666666666</v>
      </c>
      <c r="BT42" s="62">
        <f>AVERAGE(AR42:AS42)</f>
        <v>0.24871794871794872</v>
      </c>
      <c r="BU42" s="62">
        <f>AVERAGE(AY42:AZ42)</f>
        <v>0.1775</v>
      </c>
      <c r="BV42" s="62">
        <f aca="true" t="shared" si="10" ref="BV42:BV47">AVERAGE(BA42:BB42)</f>
        <v>0.17768333333333333</v>
      </c>
      <c r="BW42" s="78"/>
      <c r="BX42" s="78"/>
      <c r="BY42" s="78"/>
      <c r="BZ42" s="78"/>
      <c r="CA42" s="78"/>
      <c r="CB42" s="78"/>
      <c r="CC42" s="78"/>
      <c r="CD42" s="78"/>
      <c r="CE42" s="78"/>
      <c r="CF42" s="54"/>
      <c r="CG42" s="54"/>
      <c r="CH42" s="54">
        <f>30+13</f>
        <v>43</v>
      </c>
      <c r="CI42" s="54">
        <f>71+16</f>
        <v>87</v>
      </c>
      <c r="CJ42" s="54">
        <f>97+18</f>
        <v>115</v>
      </c>
      <c r="CK42" s="54">
        <f>123+23</f>
        <v>146</v>
      </c>
      <c r="CL42" s="54">
        <f>145+12</f>
        <v>157</v>
      </c>
      <c r="CM42" s="54">
        <f>163+19</f>
        <v>182</v>
      </c>
      <c r="CN42" s="54">
        <f>179+0</f>
        <v>179</v>
      </c>
      <c r="CO42" s="54">
        <v>114</v>
      </c>
      <c r="CP42" s="54">
        <v>73</v>
      </c>
      <c r="CQ42" s="54">
        <v>50</v>
      </c>
      <c r="CR42" s="55"/>
      <c r="CS42" s="55"/>
      <c r="CT42" s="55"/>
      <c r="CU42" s="55"/>
      <c r="CV42" s="55"/>
      <c r="CW42" s="64"/>
      <c r="CX42" s="64"/>
      <c r="CY42" s="55"/>
      <c r="CZ42" s="55"/>
      <c r="DA42" s="55"/>
      <c r="DB42" s="55"/>
      <c r="DC42" s="55"/>
      <c r="DD42" s="55"/>
      <c r="DE42" s="55"/>
      <c r="DF42" s="55"/>
      <c r="DG42" s="66"/>
      <c r="DH42" s="55">
        <v>0.8</v>
      </c>
      <c r="DI42" s="55">
        <v>0.77</v>
      </c>
      <c r="DJ42" s="55">
        <v>0.66</v>
      </c>
      <c r="DK42" s="55">
        <v>0.8125</v>
      </c>
      <c r="DL42" s="55">
        <v>0.9</v>
      </c>
      <c r="DM42" s="55">
        <v>0.63</v>
      </c>
      <c r="DN42" s="55">
        <v>0.7</v>
      </c>
      <c r="DO42" s="55">
        <v>0.5</v>
      </c>
      <c r="DP42" s="55">
        <v>0.4878048780487805</v>
      </c>
      <c r="DQ42" s="55">
        <v>0.9166666666666666</v>
      </c>
      <c r="DR42" s="55">
        <v>0.5660377358490566</v>
      </c>
      <c r="DS42" s="55">
        <v>0.56</v>
      </c>
      <c r="DT42" s="55">
        <v>0.61</v>
      </c>
      <c r="DU42" s="130"/>
      <c r="DV42" s="130"/>
      <c r="DW42" s="130"/>
      <c r="DX42" s="130"/>
      <c r="DY42" s="122" t="s">
        <v>211</v>
      </c>
      <c r="DZ42" s="122" t="s">
        <v>211</v>
      </c>
      <c r="EA42" s="124" t="s">
        <v>211</v>
      </c>
      <c r="EB42" s="124" t="s">
        <v>211</v>
      </c>
      <c r="EC42" s="122" t="s">
        <v>211</v>
      </c>
      <c r="ED42" s="122" t="s">
        <v>211</v>
      </c>
      <c r="EE42" s="124" t="s">
        <v>211</v>
      </c>
      <c r="EF42" s="124" t="s">
        <v>211</v>
      </c>
      <c r="EG42" s="122" t="s">
        <v>211</v>
      </c>
      <c r="EH42" s="122" t="s">
        <v>211</v>
      </c>
      <c r="EI42" s="124" t="s">
        <v>211</v>
      </c>
      <c r="EJ42" s="124" t="s">
        <v>211</v>
      </c>
      <c r="EK42" s="122" t="s">
        <v>211</v>
      </c>
      <c r="EL42" s="122" t="s">
        <v>211</v>
      </c>
      <c r="EM42" s="124" t="s">
        <v>211</v>
      </c>
      <c r="EN42" s="124" t="s">
        <v>211</v>
      </c>
      <c r="EO42" s="122" t="s">
        <v>211</v>
      </c>
      <c r="EP42" s="122" t="s">
        <v>211</v>
      </c>
      <c r="EQ42" s="123">
        <v>0.2</v>
      </c>
      <c r="ER42" s="123">
        <v>0.4</v>
      </c>
      <c r="ES42" s="122">
        <v>0.538</v>
      </c>
      <c r="ET42" s="122">
        <v>1</v>
      </c>
      <c r="EU42" s="123">
        <v>0.314</v>
      </c>
      <c r="EV42" s="123">
        <v>0.846</v>
      </c>
      <c r="EW42" s="122">
        <v>0.188</v>
      </c>
      <c r="EX42" s="122">
        <v>0.429</v>
      </c>
      <c r="EY42" s="124">
        <v>0.2</v>
      </c>
      <c r="EZ42" s="124">
        <v>0.286</v>
      </c>
      <c r="FA42" s="122">
        <v>0.188</v>
      </c>
      <c r="FB42" s="122">
        <v>0.429</v>
      </c>
      <c r="FC42" s="124">
        <v>0.2</v>
      </c>
      <c r="FD42" s="124">
        <v>0.4</v>
      </c>
      <c r="FE42" s="122">
        <v>0.056</v>
      </c>
      <c r="FF42" s="122">
        <v>0.2</v>
      </c>
      <c r="FG42" s="124">
        <v>0.024</v>
      </c>
      <c r="FH42" s="124">
        <v>0.077</v>
      </c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2.75">
      <c r="A43" s="47" t="s">
        <v>33</v>
      </c>
      <c r="B43" s="9" t="s">
        <v>227</v>
      </c>
      <c r="C43" s="39" t="s">
        <v>7</v>
      </c>
      <c r="D43" s="39">
        <v>5071300067</v>
      </c>
      <c r="E43" s="39">
        <v>551300112</v>
      </c>
      <c r="F43" s="26" t="s">
        <v>345</v>
      </c>
      <c r="G43" s="10" t="s">
        <v>318</v>
      </c>
      <c r="H43" s="10" t="s">
        <v>67</v>
      </c>
      <c r="I43" s="10" t="s">
        <v>163</v>
      </c>
      <c r="J43" s="10" t="s">
        <v>169</v>
      </c>
      <c r="K43" s="61"/>
      <c r="L43" s="75"/>
      <c r="M43" s="83"/>
      <c r="N43" s="62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81">
        <v>0.6428571428571429</v>
      </c>
      <c r="AS43" s="81">
        <v>0.2727272727272727</v>
      </c>
      <c r="AT43" s="81">
        <v>0.2222222222222222</v>
      </c>
      <c r="AU43" s="81">
        <v>0</v>
      </c>
      <c r="AV43" s="81">
        <v>0.45</v>
      </c>
      <c r="AW43" s="84"/>
      <c r="AX43" s="81">
        <v>0.2308</v>
      </c>
      <c r="AY43" s="81">
        <v>0.6</v>
      </c>
      <c r="AZ43" s="81">
        <v>0.1429</v>
      </c>
      <c r="BA43" s="81">
        <v>0.3333333333333333</v>
      </c>
      <c r="BB43" s="81">
        <v>0.1364</v>
      </c>
      <c r="BC43" s="50"/>
      <c r="BD43" s="50"/>
      <c r="BE43" s="60"/>
      <c r="BF43" s="60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>
        <f>AVERAGE(AQ43:AR43)</f>
        <v>0.6428571428571429</v>
      </c>
      <c r="BT43" s="62">
        <f>AVERAGE(AR43:AS43)</f>
        <v>0.4577922077922078</v>
      </c>
      <c r="BU43" s="62">
        <f>AVERAGE(AY43:AZ43)</f>
        <v>0.37145</v>
      </c>
      <c r="BV43" s="62">
        <f t="shared" si="10"/>
        <v>0.23486666666666667</v>
      </c>
      <c r="BW43" s="78"/>
      <c r="BX43" s="78"/>
      <c r="BY43" s="78"/>
      <c r="BZ43" s="78"/>
      <c r="CA43" s="78"/>
      <c r="CB43" s="78"/>
      <c r="CC43" s="78"/>
      <c r="CD43" s="78"/>
      <c r="CE43" s="78"/>
      <c r="CF43" s="54"/>
      <c r="CG43" s="54"/>
      <c r="CH43" s="54">
        <f>14+15</f>
        <v>29</v>
      </c>
      <c r="CI43" s="54">
        <f>41+5</f>
        <v>46</v>
      </c>
      <c r="CJ43" s="54">
        <f>58</f>
        <v>58</v>
      </c>
      <c r="CK43" s="54">
        <f>64+6</f>
        <v>70</v>
      </c>
      <c r="CL43" s="54">
        <f>75+9</f>
        <v>84</v>
      </c>
      <c r="CM43" s="54">
        <f>84+11</f>
        <v>95</v>
      </c>
      <c r="CN43" s="54">
        <f>95+14</f>
        <v>109</v>
      </c>
      <c r="CO43" s="54"/>
      <c r="CP43" s="54">
        <v>34</v>
      </c>
      <c r="CQ43" s="54">
        <v>29</v>
      </c>
      <c r="CR43" s="55"/>
      <c r="CS43" s="55"/>
      <c r="CT43" s="55"/>
      <c r="CU43" s="55"/>
      <c r="CV43" s="55"/>
      <c r="CW43" s="64"/>
      <c r="CX43" s="64"/>
      <c r="CY43" s="55"/>
      <c r="CZ43" s="55"/>
      <c r="DA43" s="55"/>
      <c r="DB43" s="55"/>
      <c r="DC43" s="55"/>
      <c r="DD43" s="55"/>
      <c r="DE43" s="55"/>
      <c r="DF43" s="55"/>
      <c r="DG43" s="66"/>
      <c r="DH43" s="55">
        <v>0.86</v>
      </c>
      <c r="DI43" s="55">
        <v>0.73</v>
      </c>
      <c r="DJ43" s="55">
        <v>0.83</v>
      </c>
      <c r="DK43" s="55">
        <v>1</v>
      </c>
      <c r="DL43" s="55">
        <v>0.7</v>
      </c>
      <c r="DM43" s="66"/>
      <c r="DN43" s="55">
        <v>0.77</v>
      </c>
      <c r="DO43" s="55">
        <v>1</v>
      </c>
      <c r="DP43" s="55">
        <v>0.6428571428571429</v>
      </c>
      <c r="DQ43" s="55">
        <v>0.7777777777777778</v>
      </c>
      <c r="DR43" s="55">
        <v>0.8181818181818182</v>
      </c>
      <c r="DS43" s="55">
        <v>0.73</v>
      </c>
      <c r="DT43" s="55">
        <v>0.86</v>
      </c>
      <c r="DU43" s="130"/>
      <c r="DV43" s="130"/>
      <c r="DW43" s="130"/>
      <c r="DX43" s="130"/>
      <c r="DY43" s="122" t="s">
        <v>211</v>
      </c>
      <c r="DZ43" s="122" t="s">
        <v>211</v>
      </c>
      <c r="EA43" s="124" t="s">
        <v>211</v>
      </c>
      <c r="EB43" s="124" t="s">
        <v>211</v>
      </c>
      <c r="EC43" s="122" t="s">
        <v>211</v>
      </c>
      <c r="ED43" s="122" t="s">
        <v>211</v>
      </c>
      <c r="EE43" s="124" t="s">
        <v>211</v>
      </c>
      <c r="EF43" s="124" t="s">
        <v>211</v>
      </c>
      <c r="EG43" s="122" t="s">
        <v>211</v>
      </c>
      <c r="EH43" s="122" t="s">
        <v>211</v>
      </c>
      <c r="EI43" s="124" t="s">
        <v>211</v>
      </c>
      <c r="EJ43" s="124" t="s">
        <v>211</v>
      </c>
      <c r="EK43" s="122" t="s">
        <v>211</v>
      </c>
      <c r="EL43" s="122" t="s">
        <v>211</v>
      </c>
      <c r="EM43" s="124" t="s">
        <v>211</v>
      </c>
      <c r="EN43" s="124" t="s">
        <v>211</v>
      </c>
      <c r="EO43" s="122" t="s">
        <v>211</v>
      </c>
      <c r="EP43" s="122" t="s">
        <v>211</v>
      </c>
      <c r="EQ43" s="123">
        <v>0.214</v>
      </c>
      <c r="ER43" s="123">
        <v>0.3</v>
      </c>
      <c r="ES43" s="122">
        <v>0.273</v>
      </c>
      <c r="ET43" s="122">
        <v>0.429</v>
      </c>
      <c r="EU43" s="123">
        <v>0.333</v>
      </c>
      <c r="EV43" s="123">
        <v>0.545</v>
      </c>
      <c r="EW43" s="122">
        <v>0.4</v>
      </c>
      <c r="EX43" s="122">
        <v>1</v>
      </c>
      <c r="EY43" s="124">
        <v>0.45</v>
      </c>
      <c r="EZ43" s="124">
        <v>0.692</v>
      </c>
      <c r="FA43" s="122" t="s">
        <v>211</v>
      </c>
      <c r="FB43" s="122" t="s">
        <v>211</v>
      </c>
      <c r="FC43" s="124">
        <v>0</v>
      </c>
      <c r="FD43" s="124">
        <v>0</v>
      </c>
      <c r="FE43" s="122">
        <v>0.4</v>
      </c>
      <c r="FF43" s="122">
        <v>0.6666666666666666</v>
      </c>
      <c r="FG43" s="124">
        <v>0</v>
      </c>
      <c r="FH43" s="124">
        <v>0</v>
      </c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2.75">
      <c r="A44" s="47" t="s">
        <v>33</v>
      </c>
      <c r="B44" s="9" t="s">
        <v>227</v>
      </c>
      <c r="C44" s="39" t="s">
        <v>7</v>
      </c>
      <c r="D44" s="39">
        <v>5071300110</v>
      </c>
      <c r="E44" s="39"/>
      <c r="F44" s="26" t="s">
        <v>346</v>
      </c>
      <c r="G44" s="10" t="s">
        <v>318</v>
      </c>
      <c r="H44" s="10"/>
      <c r="I44" s="10" t="s">
        <v>163</v>
      </c>
      <c r="J44" s="10" t="s">
        <v>169</v>
      </c>
      <c r="K44" s="61"/>
      <c r="L44" s="75"/>
      <c r="M44" s="83"/>
      <c r="N44" s="62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50"/>
      <c r="BD44" s="50"/>
      <c r="BE44" s="60"/>
      <c r="BF44" s="60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78"/>
      <c r="BX44" s="78"/>
      <c r="BY44" s="78"/>
      <c r="BZ44" s="78"/>
      <c r="CA44" s="78"/>
      <c r="CB44" s="78"/>
      <c r="CC44" s="78"/>
      <c r="CD44" s="78"/>
      <c r="CE44" s="78"/>
      <c r="CF44" s="54"/>
      <c r="CG44" s="54"/>
      <c r="CH44" s="54"/>
      <c r="CI44" s="54"/>
      <c r="CJ44" s="54"/>
      <c r="CK44" s="54"/>
      <c r="CL44" s="54"/>
      <c r="CM44" s="54"/>
      <c r="CN44" s="54"/>
      <c r="CO44" s="54">
        <f>99+20</f>
        <v>119</v>
      </c>
      <c r="CP44" s="54">
        <v>96</v>
      </c>
      <c r="CQ44" s="54">
        <v>101</v>
      </c>
      <c r="CR44" s="55"/>
      <c r="CS44" s="55"/>
      <c r="CT44" s="55"/>
      <c r="CU44" s="55"/>
      <c r="CV44" s="55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55">
        <v>1</v>
      </c>
      <c r="DV44" s="55">
        <v>0.93</v>
      </c>
      <c r="DW44" s="55">
        <v>0.6842105263157895</v>
      </c>
      <c r="DX44" s="55">
        <v>0.88</v>
      </c>
      <c r="DY44" s="122" t="s">
        <v>211</v>
      </c>
      <c r="DZ44" s="122" t="s">
        <v>211</v>
      </c>
      <c r="EA44" s="124" t="s">
        <v>211</v>
      </c>
      <c r="EB44" s="124" t="s">
        <v>211</v>
      </c>
      <c r="EC44" s="122" t="s">
        <v>211</v>
      </c>
      <c r="ED44" s="122" t="s">
        <v>211</v>
      </c>
      <c r="EE44" s="124" t="s">
        <v>211</v>
      </c>
      <c r="EF44" s="124" t="s">
        <v>211</v>
      </c>
      <c r="EG44" s="122" t="s">
        <v>211</v>
      </c>
      <c r="EH44" s="122" t="s">
        <v>211</v>
      </c>
      <c r="EI44" s="124" t="s">
        <v>211</v>
      </c>
      <c r="EJ44" s="124" t="s">
        <v>211</v>
      </c>
      <c r="EK44" s="122" t="s">
        <v>211</v>
      </c>
      <c r="EL44" s="122" t="s">
        <v>211</v>
      </c>
      <c r="EM44" s="124" t="s">
        <v>211</v>
      </c>
      <c r="EN44" s="124" t="s">
        <v>211</v>
      </c>
      <c r="EO44" s="122" t="s">
        <v>211</v>
      </c>
      <c r="EP44" s="122" t="s">
        <v>211</v>
      </c>
      <c r="EQ44" s="124" t="s">
        <v>211</v>
      </c>
      <c r="ER44" s="124" t="s">
        <v>211</v>
      </c>
      <c r="ES44" s="122" t="s">
        <v>211</v>
      </c>
      <c r="ET44" s="122" t="s">
        <v>211</v>
      </c>
      <c r="EU44" s="124" t="s">
        <v>211</v>
      </c>
      <c r="EV44" s="124" t="s">
        <v>211</v>
      </c>
      <c r="EW44" s="122" t="s">
        <v>211</v>
      </c>
      <c r="EX44" s="122" t="s">
        <v>211</v>
      </c>
      <c r="EY44" s="124" t="s">
        <v>211</v>
      </c>
      <c r="EZ44" s="124" t="s">
        <v>211</v>
      </c>
      <c r="FA44" s="122" t="s">
        <v>211</v>
      </c>
      <c r="FB44" s="122" t="s">
        <v>211</v>
      </c>
      <c r="FC44" s="124" t="s">
        <v>211</v>
      </c>
      <c r="FD44" s="124" t="s">
        <v>211</v>
      </c>
      <c r="FE44" s="122" t="s">
        <v>211</v>
      </c>
      <c r="FF44" s="122" t="s">
        <v>211</v>
      </c>
      <c r="FG44" s="124" t="s">
        <v>211</v>
      </c>
      <c r="FH44" s="124" t="s">
        <v>211</v>
      </c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2.75">
      <c r="A45" s="47" t="s">
        <v>33</v>
      </c>
      <c r="B45" s="9" t="s">
        <v>227</v>
      </c>
      <c r="C45" s="39" t="s">
        <v>11</v>
      </c>
      <c r="D45" s="39">
        <v>5101600013</v>
      </c>
      <c r="E45" s="39">
        <v>533507321</v>
      </c>
      <c r="F45" s="26" t="s">
        <v>101</v>
      </c>
      <c r="G45" s="10" t="s">
        <v>318</v>
      </c>
      <c r="H45" s="10" t="s">
        <v>65</v>
      </c>
      <c r="I45" s="10" t="s">
        <v>166</v>
      </c>
      <c r="J45" s="10" t="s">
        <v>172</v>
      </c>
      <c r="K45" s="61">
        <v>1</v>
      </c>
      <c r="L45" s="75" t="s">
        <v>22</v>
      </c>
      <c r="M45" s="62" t="s">
        <v>21</v>
      </c>
      <c r="N45" s="62"/>
      <c r="O45" s="76"/>
      <c r="P45" s="76"/>
      <c r="Q45" s="76"/>
      <c r="R45" s="76"/>
      <c r="S45" s="76"/>
      <c r="T45" s="76"/>
      <c r="U45" s="76"/>
      <c r="V45" s="76"/>
      <c r="W45" s="76"/>
      <c r="X45" s="62">
        <v>0.375</v>
      </c>
      <c r="Y45" s="62">
        <v>0.2791</v>
      </c>
      <c r="Z45" s="62">
        <v>0.2195</v>
      </c>
      <c r="AA45" s="62">
        <v>0.1956521739130435</v>
      </c>
      <c r="AB45" s="62">
        <v>0.2346</v>
      </c>
      <c r="AC45" s="62">
        <v>0.3571</v>
      </c>
      <c r="AD45" s="62">
        <v>0.3562</v>
      </c>
      <c r="AE45" s="62">
        <v>0.4</v>
      </c>
      <c r="AF45" s="62">
        <v>0.525</v>
      </c>
      <c r="AG45" s="62">
        <v>0.6154</v>
      </c>
      <c r="AH45" s="62">
        <v>0.5111</v>
      </c>
      <c r="AI45" s="62">
        <v>0.44</v>
      </c>
      <c r="AJ45" s="62">
        <v>0.5686</v>
      </c>
      <c r="AK45" s="80">
        <v>0.3333</v>
      </c>
      <c r="AL45" s="62">
        <v>0.6818</v>
      </c>
      <c r="AM45" s="62">
        <v>0.5417</v>
      </c>
      <c r="AN45" s="62">
        <v>0.7142857142857143</v>
      </c>
      <c r="AO45" s="62">
        <v>0.5714285714285714</v>
      </c>
      <c r="AP45" s="81">
        <v>0.3818</v>
      </c>
      <c r="AQ45" s="81">
        <v>0.5833333333333334</v>
      </c>
      <c r="AR45" s="81">
        <v>0.11320754716981132</v>
      </c>
      <c r="AS45" s="81">
        <v>0.45714285714285713</v>
      </c>
      <c r="AT45" s="81">
        <v>0.373134328358209</v>
      </c>
      <c r="AU45" s="81">
        <v>0.3333333333333333</v>
      </c>
      <c r="AV45" s="81">
        <v>0.5510204081632653</v>
      </c>
      <c r="AW45" s="81">
        <v>0.5217</v>
      </c>
      <c r="AX45" s="81">
        <v>0.42</v>
      </c>
      <c r="AY45" s="81">
        <v>0.5</v>
      </c>
      <c r="AZ45" s="81">
        <v>0.46</v>
      </c>
      <c r="BA45" s="81">
        <v>0.7142857142857143</v>
      </c>
      <c r="BB45" s="81">
        <v>0.5167</v>
      </c>
      <c r="BC45" s="60"/>
      <c r="BD45" s="60"/>
      <c r="BE45" s="60"/>
      <c r="BF45" s="60"/>
      <c r="BG45" s="62"/>
      <c r="BH45" s="62">
        <f>(Z45+Y45)/2</f>
        <v>0.24930000000000002</v>
      </c>
      <c r="BI45" s="62">
        <f>AVERAGE(AA45:AB45)</f>
        <v>0.21512608695652174</v>
      </c>
      <c r="BJ45" s="62">
        <f>AVERAGE(AC45:AD45)</f>
        <v>0.35665</v>
      </c>
      <c r="BK45" s="62">
        <f>AVERAGE(AE45:AF45)</f>
        <v>0.4625</v>
      </c>
      <c r="BL45" s="62">
        <f>AVERAGE(AG45:AH45)</f>
        <v>0.56325</v>
      </c>
      <c r="BM45" s="62">
        <f>AVERAGE(AI45:AJ45)</f>
        <v>0.5043</v>
      </c>
      <c r="BN45" s="62">
        <f>AVERAGE(AK45:AL45)</f>
        <v>0.50755</v>
      </c>
      <c r="BO45" s="62">
        <f aca="true" t="shared" si="11" ref="BO45:BT45">AVERAGE(AM45:AN45)</f>
        <v>0.6279928571428571</v>
      </c>
      <c r="BP45" s="62">
        <f t="shared" si="11"/>
        <v>0.6428571428571428</v>
      </c>
      <c r="BQ45" s="62">
        <f t="shared" si="11"/>
        <v>0.47661428571428566</v>
      </c>
      <c r="BR45" s="62">
        <f t="shared" si="11"/>
        <v>0.4825666666666667</v>
      </c>
      <c r="BS45" s="62">
        <f t="shared" si="11"/>
        <v>0.34827044025157233</v>
      </c>
      <c r="BT45" s="62">
        <f t="shared" si="11"/>
        <v>0.28517520215633424</v>
      </c>
      <c r="BU45" s="62">
        <f>AVERAGE(AY45:AZ45)</f>
        <v>0.48</v>
      </c>
      <c r="BV45" s="62">
        <f t="shared" si="10"/>
        <v>0.6154928571428572</v>
      </c>
      <c r="BW45" s="78"/>
      <c r="BX45" s="54">
        <v>115</v>
      </c>
      <c r="BY45" s="54">
        <v>202</v>
      </c>
      <c r="BZ45" s="54">
        <v>284</v>
      </c>
      <c r="CA45" s="54">
        <v>298</v>
      </c>
      <c r="CB45" s="54">
        <v>227</v>
      </c>
      <c r="CC45" s="54">
        <v>245</v>
      </c>
      <c r="CD45" s="44">
        <v>269</v>
      </c>
      <c r="CE45" s="54">
        <v>281</v>
      </c>
      <c r="CF45" s="54">
        <v>288</v>
      </c>
      <c r="CG45" s="54">
        <f>313+29</f>
        <v>342</v>
      </c>
      <c r="CH45" s="54">
        <f>300+35</f>
        <v>335</v>
      </c>
      <c r="CI45" s="54">
        <f>342+30</f>
        <v>372</v>
      </c>
      <c r="CJ45" s="54">
        <f>330+23</f>
        <v>353</v>
      </c>
      <c r="CK45" s="54">
        <f>304+23</f>
        <v>327</v>
      </c>
      <c r="CL45" s="54">
        <f>290+24</f>
        <v>314</v>
      </c>
      <c r="CM45" s="54">
        <f>291+28</f>
        <v>319</v>
      </c>
      <c r="CN45" s="54">
        <f>281+38</f>
        <v>319</v>
      </c>
      <c r="CO45" s="54">
        <f>330+41</f>
        <v>371</v>
      </c>
      <c r="CP45" s="54">
        <v>388</v>
      </c>
      <c r="CQ45" s="54">
        <v>366</v>
      </c>
      <c r="CR45" s="55">
        <v>0.74</v>
      </c>
      <c r="CS45" s="55">
        <v>0.55</v>
      </c>
      <c r="CT45" s="55">
        <v>0.54</v>
      </c>
      <c r="CU45" s="55">
        <v>0.49</v>
      </c>
      <c r="CV45" s="55">
        <v>0.75</v>
      </c>
      <c r="CW45" s="64">
        <v>1</v>
      </c>
      <c r="CX45" s="64">
        <v>0.78</v>
      </c>
      <c r="CY45" s="55">
        <v>0.61</v>
      </c>
      <c r="CZ45" s="55">
        <v>0.88</v>
      </c>
      <c r="DA45" s="55">
        <v>0.93</v>
      </c>
      <c r="DB45" s="55">
        <v>0.91</v>
      </c>
      <c r="DC45" s="55"/>
      <c r="DD45" s="55">
        <v>0.91</v>
      </c>
      <c r="DE45" s="55">
        <v>0.86</v>
      </c>
      <c r="DF45" s="55">
        <v>0.82</v>
      </c>
      <c r="DG45" s="55">
        <v>0.88</v>
      </c>
      <c r="DH45" s="55">
        <v>0.81</v>
      </c>
      <c r="DI45" s="55">
        <v>0.86</v>
      </c>
      <c r="DJ45" s="55">
        <v>0.76</v>
      </c>
      <c r="DK45" s="55">
        <v>0.8666666666666667</v>
      </c>
      <c r="DL45" s="55">
        <v>0.76</v>
      </c>
      <c r="DM45" s="55">
        <v>0.74</v>
      </c>
      <c r="DN45" s="55">
        <v>0.8</v>
      </c>
      <c r="DO45" s="55">
        <v>0.7727272727272727</v>
      </c>
      <c r="DP45" s="55">
        <v>0.7</v>
      </c>
      <c r="DQ45" s="55">
        <v>0.8095238095238095</v>
      </c>
      <c r="DR45" s="55">
        <v>0.8333333333333334</v>
      </c>
      <c r="DS45" s="55">
        <v>0.73</v>
      </c>
      <c r="DT45" s="55">
        <v>0.86</v>
      </c>
      <c r="DU45" s="55">
        <v>0.78</v>
      </c>
      <c r="DV45" s="55">
        <v>0.71</v>
      </c>
      <c r="DW45" s="55">
        <v>0.8648648648648649</v>
      </c>
      <c r="DX45" s="55">
        <v>0.75</v>
      </c>
      <c r="DY45" s="122">
        <v>0.52</v>
      </c>
      <c r="DZ45" s="122">
        <v>0.929</v>
      </c>
      <c r="EA45" s="124">
        <v>0.667</v>
      </c>
      <c r="EB45" s="124">
        <v>0.895</v>
      </c>
      <c r="EC45" s="122">
        <v>0.481</v>
      </c>
      <c r="ED45" s="122">
        <v>1</v>
      </c>
      <c r="EE45" s="124">
        <v>0.75</v>
      </c>
      <c r="EF45" s="124">
        <v>0.917</v>
      </c>
      <c r="EG45" s="122">
        <v>0.458</v>
      </c>
      <c r="EH45" s="122">
        <v>0.846</v>
      </c>
      <c r="EI45" s="124">
        <v>0.786</v>
      </c>
      <c r="EJ45" s="124">
        <v>0.957</v>
      </c>
      <c r="EK45" s="122">
        <v>0.571</v>
      </c>
      <c r="EL45" s="122">
        <v>0.941</v>
      </c>
      <c r="EM45" s="124">
        <v>0.509</v>
      </c>
      <c r="EN45" s="124">
        <v>1</v>
      </c>
      <c r="EO45" s="122">
        <v>0.667</v>
      </c>
      <c r="EP45" s="122">
        <v>0.941</v>
      </c>
      <c r="EQ45" s="123">
        <v>0.453</v>
      </c>
      <c r="ER45" s="123">
        <v>1</v>
      </c>
      <c r="ES45" s="122">
        <v>0.514</v>
      </c>
      <c r="ET45" s="122">
        <v>0.75</v>
      </c>
      <c r="EU45" s="123">
        <v>0.567</v>
      </c>
      <c r="EV45" s="123">
        <v>0.974</v>
      </c>
      <c r="EW45" s="122">
        <v>0.333</v>
      </c>
      <c r="EX45" s="122">
        <v>0.714</v>
      </c>
      <c r="EY45" s="123">
        <v>0.592</v>
      </c>
      <c r="EZ45" s="123">
        <v>0.906</v>
      </c>
      <c r="FA45" s="122">
        <v>0.478</v>
      </c>
      <c r="FB45" s="122">
        <v>0.917</v>
      </c>
      <c r="FC45" s="123">
        <v>0.46</v>
      </c>
      <c r="FD45" s="123">
        <v>0.742</v>
      </c>
      <c r="FE45" s="122">
        <v>0.318</v>
      </c>
      <c r="FF45" s="122">
        <v>0.583</v>
      </c>
      <c r="FG45" s="123">
        <v>0.26</v>
      </c>
      <c r="FH45" s="123">
        <v>0.448</v>
      </c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2.75">
      <c r="A46" s="47" t="s">
        <v>33</v>
      </c>
      <c r="B46" s="9" t="s">
        <v>227</v>
      </c>
      <c r="C46" s="39" t="s">
        <v>7</v>
      </c>
      <c r="D46" s="39"/>
      <c r="E46" s="39"/>
      <c r="F46" s="26" t="s">
        <v>404</v>
      </c>
      <c r="G46" s="10" t="s">
        <v>321</v>
      </c>
      <c r="H46" s="10"/>
      <c r="I46" s="10"/>
      <c r="J46" s="10"/>
      <c r="K46" s="61"/>
      <c r="L46" s="75"/>
      <c r="M46" s="62"/>
      <c r="N46" s="62"/>
      <c r="O46" s="76"/>
      <c r="P46" s="76"/>
      <c r="Q46" s="76"/>
      <c r="R46" s="76"/>
      <c r="S46" s="76"/>
      <c r="T46" s="76"/>
      <c r="U46" s="76"/>
      <c r="V46" s="76"/>
      <c r="W46" s="76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80"/>
      <c r="AL46" s="62"/>
      <c r="AM46" s="62"/>
      <c r="AN46" s="62"/>
      <c r="AO46" s="62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60"/>
      <c r="BD46" s="60"/>
      <c r="BE46" s="60"/>
      <c r="BF46" s="60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78"/>
      <c r="BX46" s="54"/>
      <c r="BY46" s="54"/>
      <c r="BZ46" s="54"/>
      <c r="CA46" s="54"/>
      <c r="CB46" s="54"/>
      <c r="CC46" s="54"/>
      <c r="CD46" s="4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>
        <v>14</v>
      </c>
      <c r="CP46" s="54">
        <v>18</v>
      </c>
      <c r="CQ46" s="54">
        <v>1</v>
      </c>
      <c r="CR46" s="55"/>
      <c r="CS46" s="55"/>
      <c r="CT46" s="55"/>
      <c r="CU46" s="55"/>
      <c r="CV46" s="55"/>
      <c r="CW46" s="64"/>
      <c r="CX46" s="64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122"/>
      <c r="DZ46" s="122"/>
      <c r="EA46" s="124"/>
      <c r="EB46" s="124"/>
      <c r="EC46" s="122"/>
      <c r="ED46" s="122"/>
      <c r="EE46" s="124"/>
      <c r="EF46" s="124"/>
      <c r="EG46" s="122"/>
      <c r="EH46" s="122"/>
      <c r="EI46" s="124"/>
      <c r="EJ46" s="124"/>
      <c r="EK46" s="122"/>
      <c r="EL46" s="122"/>
      <c r="EM46" s="124"/>
      <c r="EN46" s="124"/>
      <c r="EO46" s="122"/>
      <c r="EP46" s="122"/>
      <c r="EQ46" s="123"/>
      <c r="ER46" s="123"/>
      <c r="ES46" s="122"/>
      <c r="ET46" s="122"/>
      <c r="EU46" s="123"/>
      <c r="EV46" s="123"/>
      <c r="EW46" s="122"/>
      <c r="EX46" s="122"/>
      <c r="EY46" s="123"/>
      <c r="EZ46" s="123"/>
      <c r="FA46" s="122"/>
      <c r="FB46" s="122"/>
      <c r="FC46" s="123"/>
      <c r="FD46" s="123"/>
      <c r="FE46" s="122"/>
      <c r="FF46" s="122"/>
      <c r="FG46" s="123"/>
      <c r="FH46" s="123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58" customFormat="1" ht="12.75">
      <c r="A47" s="47" t="s">
        <v>33</v>
      </c>
      <c r="B47" s="9" t="s">
        <v>227</v>
      </c>
      <c r="C47" s="39" t="s">
        <v>11</v>
      </c>
      <c r="D47" s="39">
        <v>5042400019</v>
      </c>
      <c r="E47" s="39">
        <v>533504217</v>
      </c>
      <c r="F47" s="26" t="s">
        <v>347</v>
      </c>
      <c r="G47" s="10" t="s">
        <v>318</v>
      </c>
      <c r="H47" s="10" t="s">
        <v>65</v>
      </c>
      <c r="I47" s="10" t="s">
        <v>166</v>
      </c>
      <c r="J47" s="10" t="s">
        <v>172</v>
      </c>
      <c r="K47" s="61">
        <v>1</v>
      </c>
      <c r="L47" s="75" t="s">
        <v>22</v>
      </c>
      <c r="M47" s="62" t="s">
        <v>21</v>
      </c>
      <c r="N47" s="62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7"/>
      <c r="AL47" s="76"/>
      <c r="AM47" s="62">
        <v>0.6875</v>
      </c>
      <c r="AN47" s="86"/>
      <c r="AO47" s="62">
        <v>0.47058823529411764</v>
      </c>
      <c r="AP47" s="81">
        <v>0.4166666666666667</v>
      </c>
      <c r="AQ47" s="81">
        <v>0.5217391304347826</v>
      </c>
      <c r="AR47" s="81">
        <v>0.6</v>
      </c>
      <c r="AS47" s="81">
        <v>0.5625</v>
      </c>
      <c r="AT47" s="81">
        <v>0.8571428571428571</v>
      </c>
      <c r="AU47" s="81">
        <v>0.6923076923076923</v>
      </c>
      <c r="AV47" s="89" t="s">
        <v>211</v>
      </c>
      <c r="AW47" s="89">
        <v>0.5556</v>
      </c>
      <c r="AX47" s="89">
        <v>0.5</v>
      </c>
      <c r="AY47" s="89">
        <v>0.4783</v>
      </c>
      <c r="AZ47" s="89">
        <v>0.4286</v>
      </c>
      <c r="BA47" s="89">
        <v>0.3684210526315789</v>
      </c>
      <c r="BB47" s="84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>
        <f aca="true" t="shared" si="12" ref="BO47:BT47">AVERAGE(AM47:AN47)</f>
        <v>0.6875</v>
      </c>
      <c r="BP47" s="62">
        <f t="shared" si="12"/>
        <v>0.47058823529411764</v>
      </c>
      <c r="BQ47" s="62">
        <f t="shared" si="12"/>
        <v>0.44362745098039214</v>
      </c>
      <c r="BR47" s="62">
        <f t="shared" si="12"/>
        <v>0.4692028985507246</v>
      </c>
      <c r="BS47" s="62">
        <f t="shared" si="12"/>
        <v>0.5608695652173913</v>
      </c>
      <c r="BT47" s="62">
        <f t="shared" si="12"/>
        <v>0.58125</v>
      </c>
      <c r="BU47" s="62">
        <f>AVERAGE(AY47:AZ47)</f>
        <v>0.45345</v>
      </c>
      <c r="BV47" s="62">
        <f t="shared" si="10"/>
        <v>0.3684210526315789</v>
      </c>
      <c r="BW47" s="78"/>
      <c r="BX47" s="78"/>
      <c r="BY47" s="78"/>
      <c r="BZ47" s="78"/>
      <c r="CA47" s="78"/>
      <c r="CB47" s="78"/>
      <c r="CC47" s="78"/>
      <c r="CD47" s="78"/>
      <c r="CE47" s="78"/>
      <c r="CF47" s="54">
        <v>16</v>
      </c>
      <c r="CG47" s="54">
        <f>30+13</f>
        <v>43</v>
      </c>
      <c r="CH47" s="54">
        <f>60+5</f>
        <v>65</v>
      </c>
      <c r="CI47" s="54">
        <f>74+7</f>
        <v>81</v>
      </c>
      <c r="CJ47" s="54">
        <f>78</f>
        <v>78</v>
      </c>
      <c r="CK47" s="54">
        <f>84+7</f>
        <v>91</v>
      </c>
      <c r="CL47" s="54">
        <f>85+7</f>
        <v>92</v>
      </c>
      <c r="CM47" s="54">
        <f>82+0</f>
        <v>82</v>
      </c>
      <c r="CN47" s="54">
        <f>79+17</f>
        <v>96</v>
      </c>
      <c r="CO47" s="54">
        <v>98</v>
      </c>
      <c r="CP47" s="54">
        <v>66</v>
      </c>
      <c r="CQ47" s="54">
        <v>51</v>
      </c>
      <c r="CR47" s="55"/>
      <c r="CS47" s="55"/>
      <c r="CT47" s="55"/>
      <c r="CU47" s="55"/>
      <c r="CV47" s="55"/>
      <c r="CW47" s="64"/>
      <c r="CX47" s="64"/>
      <c r="CY47" s="55"/>
      <c r="CZ47" s="55"/>
      <c r="DA47" s="55"/>
      <c r="DB47" s="55"/>
      <c r="DC47" s="66"/>
      <c r="DD47" s="55">
        <v>0.81</v>
      </c>
      <c r="DE47" s="66"/>
      <c r="DF47" s="55">
        <v>0.82</v>
      </c>
      <c r="DG47" s="55">
        <v>0.75</v>
      </c>
      <c r="DH47" s="55">
        <v>0.78</v>
      </c>
      <c r="DI47" s="55">
        <v>1</v>
      </c>
      <c r="DJ47" s="55">
        <v>0.94</v>
      </c>
      <c r="DK47" s="55">
        <v>1</v>
      </c>
      <c r="DL47" s="55">
        <v>0.85</v>
      </c>
      <c r="DM47" s="66"/>
      <c r="DN47" s="55">
        <v>0.89</v>
      </c>
      <c r="DO47" s="55">
        <v>0.8333333333333334</v>
      </c>
      <c r="DP47" s="55">
        <v>0.6956521739130435</v>
      </c>
      <c r="DQ47" s="55">
        <v>1</v>
      </c>
      <c r="DR47" s="55">
        <v>0.8421052631578947</v>
      </c>
      <c r="DS47" s="66"/>
      <c r="DT47" s="55">
        <v>0.64</v>
      </c>
      <c r="DU47" s="55">
        <v>0.88</v>
      </c>
      <c r="DV47" s="55">
        <v>1</v>
      </c>
      <c r="DW47" s="66"/>
      <c r="DX47" s="66"/>
      <c r="DY47" s="122" t="s">
        <v>211</v>
      </c>
      <c r="DZ47" s="122" t="s">
        <v>211</v>
      </c>
      <c r="EA47" s="124" t="s">
        <v>211</v>
      </c>
      <c r="EB47" s="124" t="s">
        <v>211</v>
      </c>
      <c r="EC47" s="122" t="s">
        <v>211</v>
      </c>
      <c r="ED47" s="122" t="s">
        <v>211</v>
      </c>
      <c r="EE47" s="124">
        <v>0.813</v>
      </c>
      <c r="EF47" s="124">
        <v>0.929</v>
      </c>
      <c r="EG47" s="122" t="s">
        <v>211</v>
      </c>
      <c r="EH47" s="122" t="s">
        <v>211</v>
      </c>
      <c r="EI47" s="124">
        <v>0.813</v>
      </c>
      <c r="EJ47" s="124">
        <v>0.929</v>
      </c>
      <c r="EK47" s="122">
        <v>0.588</v>
      </c>
      <c r="EL47" s="122">
        <v>0.909</v>
      </c>
      <c r="EM47" s="124">
        <v>0.5</v>
      </c>
      <c r="EN47" s="124">
        <v>0.75</v>
      </c>
      <c r="EO47" s="122">
        <v>0.609</v>
      </c>
      <c r="EP47" s="122">
        <v>0.933</v>
      </c>
      <c r="EQ47" s="124">
        <v>0.6</v>
      </c>
      <c r="ER47" s="124">
        <v>0.75</v>
      </c>
      <c r="ES47" s="122">
        <v>0.375</v>
      </c>
      <c r="ET47" s="122">
        <v>0.545</v>
      </c>
      <c r="EU47" s="123">
        <v>1</v>
      </c>
      <c r="EV47" s="123">
        <v>1</v>
      </c>
      <c r="EW47" s="122">
        <v>0.769</v>
      </c>
      <c r="EX47" s="122">
        <v>1</v>
      </c>
      <c r="EY47" s="124" t="s">
        <v>211</v>
      </c>
      <c r="EZ47" s="124" t="s">
        <v>211</v>
      </c>
      <c r="FA47" s="122">
        <v>0.667</v>
      </c>
      <c r="FB47" s="122">
        <v>0.923</v>
      </c>
      <c r="FC47" s="124">
        <v>0.333</v>
      </c>
      <c r="FD47" s="123">
        <v>0.5</v>
      </c>
      <c r="FE47" s="122">
        <v>0.391</v>
      </c>
      <c r="FF47" s="122">
        <v>0.692</v>
      </c>
      <c r="FG47" s="124">
        <v>0.571</v>
      </c>
      <c r="FH47" s="123">
        <v>0.8</v>
      </c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58" customFormat="1" ht="12.75">
      <c r="A48" s="47" t="s">
        <v>29</v>
      </c>
      <c r="B48" s="28" t="s">
        <v>228</v>
      </c>
      <c r="C48" s="39" t="s">
        <v>24</v>
      </c>
      <c r="D48" s="39" t="s">
        <v>286</v>
      </c>
      <c r="E48" s="39" t="s">
        <v>256</v>
      </c>
      <c r="F48" s="9" t="s">
        <v>25</v>
      </c>
      <c r="G48" s="9" t="s">
        <v>323</v>
      </c>
      <c r="H48" s="9" t="s">
        <v>61</v>
      </c>
      <c r="I48" s="9" t="s">
        <v>162</v>
      </c>
      <c r="J48" s="9" t="s">
        <v>174</v>
      </c>
      <c r="K48" s="79"/>
      <c r="L48" s="59"/>
      <c r="M48" s="60"/>
      <c r="N48" s="60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81">
        <v>0.1463</v>
      </c>
      <c r="AX48" s="81">
        <v>0</v>
      </c>
      <c r="AY48" s="81">
        <v>0.2013</v>
      </c>
      <c r="AZ48" s="81">
        <v>0.0111</v>
      </c>
      <c r="BA48" s="81">
        <v>0.5575447570332481</v>
      </c>
      <c r="BB48" s="81">
        <v>0.0141</v>
      </c>
      <c r="BC48" s="60"/>
      <c r="BD48" s="60"/>
      <c r="BE48" s="60"/>
      <c r="BF48" s="60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>
        <f>AVERAGE(AW48:AX48)</f>
        <v>0.07315</v>
      </c>
      <c r="BU48" s="62">
        <f>AVERAGE(AY48:AZ48)</f>
        <v>0.1062</v>
      </c>
      <c r="BV48" s="62">
        <f>AVERAGE(BA48:BB48)</f>
        <v>0.28582237851662406</v>
      </c>
      <c r="BW48" s="54"/>
      <c r="BX48" s="54"/>
      <c r="BY48" s="54"/>
      <c r="BZ48" s="54"/>
      <c r="CA48" s="54"/>
      <c r="CB48" s="54"/>
      <c r="CC48" s="54"/>
      <c r="CD48" s="44"/>
      <c r="CE48" s="54"/>
      <c r="CF48" s="54"/>
      <c r="CG48" s="54"/>
      <c r="CH48" s="54"/>
      <c r="CI48" s="54"/>
      <c r="CJ48" s="54"/>
      <c r="CK48" s="54"/>
      <c r="CL48" s="54">
        <f>152+0</f>
        <v>152</v>
      </c>
      <c r="CM48" s="54">
        <f>546+29</f>
        <v>575</v>
      </c>
      <c r="CN48" s="54">
        <f>792+20</f>
        <v>812</v>
      </c>
      <c r="CO48" s="54">
        <v>937</v>
      </c>
      <c r="CP48" s="54">
        <v>1003</v>
      </c>
      <c r="CQ48" s="54">
        <v>1084</v>
      </c>
      <c r="CR48" s="55"/>
      <c r="CS48" s="55"/>
      <c r="CT48" s="55"/>
      <c r="CU48" s="55"/>
      <c r="CV48" s="55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55">
        <v>0.82</v>
      </c>
      <c r="DQ48" s="55">
        <v>0.72</v>
      </c>
      <c r="DR48" s="55">
        <v>0.75</v>
      </c>
      <c r="DS48" s="55">
        <v>0.61</v>
      </c>
      <c r="DT48" s="55">
        <v>0.77</v>
      </c>
      <c r="DU48" s="55">
        <v>0.69</v>
      </c>
      <c r="DV48" s="55">
        <v>1</v>
      </c>
      <c r="DW48" s="55">
        <v>0.95</v>
      </c>
      <c r="DX48" s="55">
        <v>0.98</v>
      </c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58" customFormat="1" ht="12.75">
      <c r="A49" s="47" t="s">
        <v>29</v>
      </c>
      <c r="B49" s="28" t="s">
        <v>228</v>
      </c>
      <c r="C49" s="39" t="s">
        <v>7</v>
      </c>
      <c r="D49" s="39">
        <v>5061300025</v>
      </c>
      <c r="E49" s="39">
        <v>544100087</v>
      </c>
      <c r="F49" s="34" t="s">
        <v>85</v>
      </c>
      <c r="G49" s="10" t="s">
        <v>318</v>
      </c>
      <c r="H49" s="10" t="s">
        <v>66</v>
      </c>
      <c r="I49" s="10" t="s">
        <v>175</v>
      </c>
      <c r="J49" s="10" t="s">
        <v>169</v>
      </c>
      <c r="K49" s="61"/>
      <c r="L49" s="75"/>
      <c r="M49" s="83"/>
      <c r="N49" s="62"/>
      <c r="O49" s="76"/>
      <c r="P49" s="76"/>
      <c r="Q49" s="76"/>
      <c r="R49" s="76"/>
      <c r="S49" s="76"/>
      <c r="T49" s="60">
        <v>0.375</v>
      </c>
      <c r="U49" s="60">
        <v>0.2245</v>
      </c>
      <c r="V49" s="60">
        <v>0.3529</v>
      </c>
      <c r="W49" s="60">
        <v>0.1724</v>
      </c>
      <c r="X49" s="62">
        <v>0.3671</v>
      </c>
      <c r="Y49" s="62">
        <v>0.3256</v>
      </c>
      <c r="Z49" s="62">
        <v>0.3861</v>
      </c>
      <c r="AA49" s="62">
        <v>0.23404255319148937</v>
      </c>
      <c r="AB49" s="62">
        <v>0.3107</v>
      </c>
      <c r="AC49" s="62">
        <v>0.3947</v>
      </c>
      <c r="AD49" s="62">
        <v>0.4459</v>
      </c>
      <c r="AE49" s="62">
        <v>0.4545</v>
      </c>
      <c r="AF49" s="62">
        <v>0.4681</v>
      </c>
      <c r="AG49" s="62">
        <v>0.833</v>
      </c>
      <c r="AH49" s="62">
        <v>0.5135</v>
      </c>
      <c r="AI49" s="62">
        <v>0.26666666666666666</v>
      </c>
      <c r="AJ49" s="62">
        <v>0.4722222222222222</v>
      </c>
      <c r="AK49" s="85">
        <v>0.3333</v>
      </c>
      <c r="AL49" s="62">
        <v>0.575</v>
      </c>
      <c r="AM49" s="62">
        <v>1</v>
      </c>
      <c r="AN49" s="90">
        <v>0.5757</v>
      </c>
      <c r="AO49" s="62">
        <v>0.1818</v>
      </c>
      <c r="AP49" s="81">
        <v>0.4348</v>
      </c>
      <c r="AQ49" s="81">
        <v>0.6923076923076923</v>
      </c>
      <c r="AR49" s="81">
        <v>0.4090909090909091</v>
      </c>
      <c r="AS49" s="81">
        <v>0.5</v>
      </c>
      <c r="AT49" s="81">
        <v>0.5357142857142857</v>
      </c>
      <c r="AU49" s="81">
        <v>0.375</v>
      </c>
      <c r="AV49" s="81">
        <v>0.6363636363636364</v>
      </c>
      <c r="AW49" s="91"/>
      <c r="AX49" s="91"/>
      <c r="AY49" s="91"/>
      <c r="AZ49" s="91"/>
      <c r="BA49" s="91"/>
      <c r="BB49" s="91"/>
      <c r="BC49" s="60"/>
      <c r="BD49" s="60"/>
      <c r="BE49" s="60">
        <f>AVERAGE(S49:T49)</f>
        <v>0.375</v>
      </c>
      <c r="BF49" s="60">
        <f>AVERAGE(U49:V49)</f>
        <v>0.2887</v>
      </c>
      <c r="BG49" s="62">
        <f>AVERAGE(W49:X49)</f>
        <v>0.26975</v>
      </c>
      <c r="BH49" s="62">
        <f>(Z49+Y49)/2</f>
        <v>0.35585</v>
      </c>
      <c r="BI49" s="62">
        <f>AVERAGE(AA49:AB49)</f>
        <v>0.27237127659574467</v>
      </c>
      <c r="BJ49" s="62">
        <f>AVERAGE(AC49:AD49)</f>
        <v>0.4203</v>
      </c>
      <c r="BK49" s="62">
        <f>AVERAGE(AE49:AF49)</f>
        <v>0.46130000000000004</v>
      </c>
      <c r="BL49" s="62">
        <f>AVERAGE(AG49:AH49)</f>
        <v>0.6732499999999999</v>
      </c>
      <c r="BM49" s="62">
        <f>AVERAGE(AI49:AJ49)</f>
        <v>0.36944444444444446</v>
      </c>
      <c r="BN49" s="62">
        <f>AVERAGE(AK49:AL49)</f>
        <v>0.45414999999999994</v>
      </c>
      <c r="BO49" s="62">
        <f aca="true" t="shared" si="13" ref="BO49:BT49">AVERAGE(AM49:AN49)</f>
        <v>0.7878499999999999</v>
      </c>
      <c r="BP49" s="62">
        <f t="shared" si="13"/>
        <v>0.37875</v>
      </c>
      <c r="BQ49" s="62">
        <f t="shared" si="13"/>
        <v>0.3083</v>
      </c>
      <c r="BR49" s="62">
        <f t="shared" si="13"/>
        <v>0.5635538461538462</v>
      </c>
      <c r="BS49" s="62">
        <f t="shared" si="13"/>
        <v>0.5506993006993007</v>
      </c>
      <c r="BT49" s="62">
        <f t="shared" si="13"/>
        <v>0.4545454545454546</v>
      </c>
      <c r="BU49" s="62"/>
      <c r="BV49" s="62"/>
      <c r="BW49" s="61">
        <v>203</v>
      </c>
      <c r="BX49" s="54">
        <v>259</v>
      </c>
      <c r="BY49" s="54">
        <v>344</v>
      </c>
      <c r="BZ49" s="54">
        <v>432</v>
      </c>
      <c r="CA49" s="54">
        <v>388</v>
      </c>
      <c r="CB49" s="54">
        <v>314</v>
      </c>
      <c r="CC49" s="54">
        <v>295</v>
      </c>
      <c r="CD49" s="44">
        <v>242</v>
      </c>
      <c r="CE49" s="54">
        <v>207</v>
      </c>
      <c r="CF49" s="54">
        <v>250</v>
      </c>
      <c r="CG49" s="54">
        <f>155+13</f>
        <v>168</v>
      </c>
      <c r="CH49" s="54">
        <f>153+12</f>
        <v>165</v>
      </c>
      <c r="CI49" s="54">
        <f>160+16</f>
        <v>176</v>
      </c>
      <c r="CJ49" s="54">
        <f>158</f>
        <v>158</v>
      </c>
      <c r="CK49" s="54">
        <f>121+0</f>
        <v>121</v>
      </c>
      <c r="CL49" s="54">
        <v>91</v>
      </c>
      <c r="CM49" s="54">
        <f>63+0</f>
        <v>63</v>
      </c>
      <c r="CN49" s="54">
        <f>26+0</f>
        <v>26</v>
      </c>
      <c r="CO49" s="54"/>
      <c r="CP49" s="54"/>
      <c r="CQ49" s="54"/>
      <c r="CR49" s="55">
        <v>0.7</v>
      </c>
      <c r="CS49" s="55">
        <v>0.73</v>
      </c>
      <c r="CT49" s="55">
        <v>0.49</v>
      </c>
      <c r="CU49" s="55">
        <v>0.73</v>
      </c>
      <c r="CV49" s="55">
        <v>0.74</v>
      </c>
      <c r="CW49" s="64">
        <v>0.92</v>
      </c>
      <c r="CX49" s="64">
        <v>0.65</v>
      </c>
      <c r="CY49" s="55">
        <v>0.27</v>
      </c>
      <c r="CZ49" s="55">
        <v>0.61</v>
      </c>
      <c r="DA49" s="55">
        <v>0.78</v>
      </c>
      <c r="DB49" s="55">
        <v>0.75</v>
      </c>
      <c r="DC49" s="55">
        <v>1</v>
      </c>
      <c r="DD49" s="55">
        <v>0.85</v>
      </c>
      <c r="DE49" s="55">
        <v>0.36</v>
      </c>
      <c r="DF49" s="55">
        <v>0.87</v>
      </c>
      <c r="DG49" s="55">
        <v>0.69</v>
      </c>
      <c r="DH49" s="55">
        <v>0.95</v>
      </c>
      <c r="DI49" s="55">
        <v>1</v>
      </c>
      <c r="DJ49" s="55">
        <v>0.89</v>
      </c>
      <c r="DK49" s="55">
        <v>0.625</v>
      </c>
      <c r="DL49" s="55">
        <v>0.79</v>
      </c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122">
        <v>0.667</v>
      </c>
      <c r="DZ49" s="122">
        <v>1</v>
      </c>
      <c r="EA49" s="124">
        <v>0.55</v>
      </c>
      <c r="EB49" s="124">
        <v>0.786</v>
      </c>
      <c r="EC49" s="122">
        <v>0.667</v>
      </c>
      <c r="ED49" s="122">
        <v>0.667</v>
      </c>
      <c r="EE49" s="124">
        <v>0.697</v>
      </c>
      <c r="EF49" s="124">
        <v>1</v>
      </c>
      <c r="EG49" s="122">
        <v>0.273</v>
      </c>
      <c r="EH49" s="122">
        <v>1</v>
      </c>
      <c r="EI49" s="124">
        <v>0.478</v>
      </c>
      <c r="EJ49" s="124">
        <v>0.786</v>
      </c>
      <c r="EK49" s="122">
        <v>0.692</v>
      </c>
      <c r="EL49" s="122">
        <v>1</v>
      </c>
      <c r="EM49" s="124">
        <v>0.455</v>
      </c>
      <c r="EN49" s="124">
        <v>0.8333333333333334</v>
      </c>
      <c r="EO49" s="122">
        <v>0.583</v>
      </c>
      <c r="EP49" s="122">
        <v>1</v>
      </c>
      <c r="EQ49" s="124">
        <v>0.679</v>
      </c>
      <c r="ER49" s="124">
        <v>1</v>
      </c>
      <c r="ES49" s="122">
        <v>0.125</v>
      </c>
      <c r="ET49" s="122">
        <v>0.222</v>
      </c>
      <c r="EU49" s="123">
        <v>0.091</v>
      </c>
      <c r="EV49" s="123">
        <v>0.13</v>
      </c>
      <c r="EW49" s="131" t="s">
        <v>211</v>
      </c>
      <c r="EX49" s="131" t="s">
        <v>211</v>
      </c>
      <c r="EY49" s="132" t="s">
        <v>211</v>
      </c>
      <c r="EZ49" s="132" t="s">
        <v>211</v>
      </c>
      <c r="FA49" s="131" t="s">
        <v>211</v>
      </c>
      <c r="FB49" s="131" t="s">
        <v>211</v>
      </c>
      <c r="FC49" s="132" t="s">
        <v>211</v>
      </c>
      <c r="FD49" s="132" t="s">
        <v>211</v>
      </c>
      <c r="FE49" s="131" t="s">
        <v>211</v>
      </c>
      <c r="FF49" s="131" t="s">
        <v>211</v>
      </c>
      <c r="FG49" s="132" t="s">
        <v>211</v>
      </c>
      <c r="FH49" s="132" t="s">
        <v>211</v>
      </c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58" customFormat="1" ht="12.75">
      <c r="A50" s="47" t="s">
        <v>29</v>
      </c>
      <c r="B50" s="28" t="s">
        <v>228</v>
      </c>
      <c r="C50" s="39" t="s">
        <v>7</v>
      </c>
      <c r="D50" s="39">
        <v>5061300020</v>
      </c>
      <c r="E50" s="39">
        <v>544100076</v>
      </c>
      <c r="F50" s="26" t="s">
        <v>348</v>
      </c>
      <c r="G50" s="10" t="s">
        <v>318</v>
      </c>
      <c r="H50" s="10" t="s">
        <v>66</v>
      </c>
      <c r="I50" s="10" t="s">
        <v>175</v>
      </c>
      <c r="J50" s="10" t="s">
        <v>169</v>
      </c>
      <c r="K50" s="61"/>
      <c r="L50" s="75"/>
      <c r="M50" s="83"/>
      <c r="N50" s="62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62"/>
      <c r="AF50" s="62"/>
      <c r="AG50" s="62"/>
      <c r="AH50" s="62"/>
      <c r="AI50" s="62"/>
      <c r="AJ50" s="62"/>
      <c r="AK50" s="92"/>
      <c r="AL50" s="86"/>
      <c r="AM50" s="76"/>
      <c r="AN50" s="76"/>
      <c r="AO50" s="76"/>
      <c r="AP50" s="76"/>
      <c r="AQ50" s="76"/>
      <c r="AR50" s="76"/>
      <c r="AS50" s="76"/>
      <c r="AT50" s="76"/>
      <c r="AU50" s="76" t="s">
        <v>211</v>
      </c>
      <c r="AV50" s="76" t="s">
        <v>211</v>
      </c>
      <c r="AW50" s="76"/>
      <c r="AX50" s="81">
        <v>0.2813</v>
      </c>
      <c r="AY50" s="81">
        <v>0.2727</v>
      </c>
      <c r="AZ50" s="81">
        <v>0.6875</v>
      </c>
      <c r="BA50" s="81">
        <v>0.07692307692307693</v>
      </c>
      <c r="BB50" s="81">
        <v>0.4</v>
      </c>
      <c r="BC50" s="60"/>
      <c r="BD50" s="60"/>
      <c r="BE50" s="60"/>
      <c r="BF50" s="60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f>AVERAGE(AY50:AZ50)</f>
        <v>0.48009999999999997</v>
      </c>
      <c r="BV50" s="62">
        <f>AVERAGE(BA50:BB50)</f>
        <v>0.23846153846153847</v>
      </c>
      <c r="BW50" s="78"/>
      <c r="BX50" s="78"/>
      <c r="BY50" s="78"/>
      <c r="BZ50" s="54"/>
      <c r="CA50" s="54"/>
      <c r="CB50" s="54"/>
      <c r="CC50" s="54"/>
      <c r="CD50" s="44"/>
      <c r="CE50" s="54"/>
      <c r="CF50" s="54"/>
      <c r="CG50" s="54"/>
      <c r="CH50" s="54"/>
      <c r="CI50" s="54"/>
      <c r="CJ50" s="54"/>
      <c r="CK50" s="54">
        <f>37+11</f>
        <v>48</v>
      </c>
      <c r="CL50" s="54">
        <f>60+13</f>
        <v>73</v>
      </c>
      <c r="CM50" s="54">
        <f>89+13</f>
        <v>102</v>
      </c>
      <c r="CN50" s="54">
        <f>120+12</f>
        <v>132</v>
      </c>
      <c r="CO50" s="54">
        <f>140+14</f>
        <v>154</v>
      </c>
      <c r="CP50" s="54">
        <v>151</v>
      </c>
      <c r="CQ50" s="54">
        <v>142</v>
      </c>
      <c r="CR50" s="76"/>
      <c r="CS50" s="76"/>
      <c r="CT50" s="76"/>
      <c r="CU50" s="55"/>
      <c r="CV50" s="55"/>
      <c r="CW50" s="64"/>
      <c r="CX50" s="64"/>
      <c r="CY50" s="55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55">
        <v>0.56</v>
      </c>
      <c r="DO50" s="55">
        <v>0.6363636363636364</v>
      </c>
      <c r="DP50" s="55">
        <v>0.8125</v>
      </c>
      <c r="DQ50" s="55">
        <v>0.7692307692307693</v>
      </c>
      <c r="DR50" s="55">
        <v>0.8333333333333334</v>
      </c>
      <c r="DS50" s="55">
        <v>0.92</v>
      </c>
      <c r="DT50" s="55">
        <v>0.74</v>
      </c>
      <c r="DU50" s="55">
        <v>0.7</v>
      </c>
      <c r="DV50" s="55">
        <v>0.6</v>
      </c>
      <c r="DW50" s="55">
        <v>1</v>
      </c>
      <c r="DX50" s="55">
        <v>0.83</v>
      </c>
      <c r="DY50" s="122" t="s">
        <v>211</v>
      </c>
      <c r="DZ50" s="122" t="s">
        <v>211</v>
      </c>
      <c r="EA50" s="124" t="s">
        <v>211</v>
      </c>
      <c r="EB50" s="124" t="s">
        <v>211</v>
      </c>
      <c r="EC50" s="122" t="s">
        <v>211</v>
      </c>
      <c r="ED50" s="122" t="s">
        <v>211</v>
      </c>
      <c r="EE50" s="124" t="s">
        <v>211</v>
      </c>
      <c r="EF50" s="124" t="s">
        <v>211</v>
      </c>
      <c r="EG50" s="122" t="s">
        <v>211</v>
      </c>
      <c r="EH50" s="122" t="s">
        <v>211</v>
      </c>
      <c r="EI50" s="124" t="s">
        <v>211</v>
      </c>
      <c r="EJ50" s="124" t="s">
        <v>211</v>
      </c>
      <c r="EK50" s="122" t="s">
        <v>211</v>
      </c>
      <c r="EL50" s="122" t="s">
        <v>211</v>
      </c>
      <c r="EM50" s="124" t="s">
        <v>211</v>
      </c>
      <c r="EN50" s="124" t="s">
        <v>211</v>
      </c>
      <c r="EO50" s="122" t="s">
        <v>211</v>
      </c>
      <c r="EP50" s="122" t="s">
        <v>211</v>
      </c>
      <c r="EQ50" s="124" t="s">
        <v>211</v>
      </c>
      <c r="ER50" s="124" t="s">
        <v>211</v>
      </c>
      <c r="ES50" s="122" t="s">
        <v>211</v>
      </c>
      <c r="ET50" s="122" t="s">
        <v>211</v>
      </c>
      <c r="EU50" s="124" t="s">
        <v>211</v>
      </c>
      <c r="EV50" s="124" t="s">
        <v>211</v>
      </c>
      <c r="EW50" s="122" t="s">
        <v>211</v>
      </c>
      <c r="EX50" s="122" t="s">
        <v>211</v>
      </c>
      <c r="EY50" s="124" t="s">
        <v>211</v>
      </c>
      <c r="EZ50" s="124" t="s">
        <v>211</v>
      </c>
      <c r="FA50" s="122" t="s">
        <v>211</v>
      </c>
      <c r="FB50" s="122" t="s">
        <v>211</v>
      </c>
      <c r="FC50" s="124">
        <v>0.25</v>
      </c>
      <c r="FD50" s="124">
        <v>0.615</v>
      </c>
      <c r="FE50" s="122">
        <v>0</v>
      </c>
      <c r="FF50" s="122">
        <v>0</v>
      </c>
      <c r="FG50" s="124">
        <v>0.219</v>
      </c>
      <c r="FH50" s="124">
        <v>0.292</v>
      </c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58" customFormat="1" ht="12.75">
      <c r="A51" s="47" t="s">
        <v>29</v>
      </c>
      <c r="B51" s="28" t="s">
        <v>228</v>
      </c>
      <c r="C51" s="39" t="s">
        <v>11</v>
      </c>
      <c r="D51" s="39">
        <v>5042000002</v>
      </c>
      <c r="E51" s="39">
        <v>533000003</v>
      </c>
      <c r="F51" s="26" t="s">
        <v>349</v>
      </c>
      <c r="G51" s="10" t="s">
        <v>318</v>
      </c>
      <c r="H51" s="10" t="s">
        <v>65</v>
      </c>
      <c r="I51" s="10" t="s">
        <v>166</v>
      </c>
      <c r="J51" s="10" t="s">
        <v>172</v>
      </c>
      <c r="K51" s="61">
        <v>1</v>
      </c>
      <c r="L51" s="75" t="s">
        <v>22</v>
      </c>
      <c r="M51" s="62" t="s">
        <v>21</v>
      </c>
      <c r="N51" s="62"/>
      <c r="O51" s="76"/>
      <c r="P51" s="76"/>
      <c r="Q51" s="76"/>
      <c r="R51" s="76"/>
      <c r="S51" s="76"/>
      <c r="T51" s="60">
        <v>0.2</v>
      </c>
      <c r="U51" s="60">
        <v>0.42</v>
      </c>
      <c r="V51" s="60">
        <v>0.5614035087719298</v>
      </c>
      <c r="W51" s="60">
        <v>0.5</v>
      </c>
      <c r="X51" s="62">
        <v>0.5</v>
      </c>
      <c r="Y51" s="62">
        <v>0.5526</v>
      </c>
      <c r="Z51" s="62">
        <v>0.5366</v>
      </c>
      <c r="AA51" s="62">
        <v>0.3404255319148936</v>
      </c>
      <c r="AB51" s="62">
        <v>0.5327</v>
      </c>
      <c r="AC51" s="62">
        <v>0.5128</v>
      </c>
      <c r="AD51" s="62">
        <v>0.6341</v>
      </c>
      <c r="AE51" s="62">
        <v>0.5</v>
      </c>
      <c r="AF51" s="62">
        <v>0.6308</v>
      </c>
      <c r="AG51" s="62">
        <v>0.48</v>
      </c>
      <c r="AH51" s="62">
        <v>0.7246</v>
      </c>
      <c r="AI51" s="62">
        <v>0.5294</v>
      </c>
      <c r="AJ51" s="62">
        <v>0.6923</v>
      </c>
      <c r="AK51" s="80">
        <v>0.5909090909090909</v>
      </c>
      <c r="AL51" s="62">
        <v>0.7612</v>
      </c>
      <c r="AM51" s="62">
        <v>0.6552</v>
      </c>
      <c r="AN51" s="62">
        <v>0.76</v>
      </c>
      <c r="AO51" s="62">
        <v>0.8181818181818182</v>
      </c>
      <c r="AP51" s="81">
        <v>0.6857</v>
      </c>
      <c r="AQ51" s="81">
        <v>0.6785714285714286</v>
      </c>
      <c r="AR51" s="81">
        <v>0.7</v>
      </c>
      <c r="AS51" s="81">
        <v>0.5357142857142857</v>
      </c>
      <c r="AT51" s="81">
        <v>0.7941176470588235</v>
      </c>
      <c r="AU51" s="81">
        <v>0.4782608695652174</v>
      </c>
      <c r="AV51" s="81">
        <v>0.6896551724137931</v>
      </c>
      <c r="AW51" s="81">
        <v>0.6667</v>
      </c>
      <c r="AX51" s="81">
        <v>0.5694</v>
      </c>
      <c r="AY51" s="81">
        <v>0.4348</v>
      </c>
      <c r="AZ51" s="81">
        <v>0.5833</v>
      </c>
      <c r="BA51" s="81">
        <v>0.59375</v>
      </c>
      <c r="BB51" s="81">
        <v>0.5942</v>
      </c>
      <c r="BC51" s="60"/>
      <c r="BD51" s="60"/>
      <c r="BE51" s="60"/>
      <c r="BF51" s="60">
        <f>AVERAGE(U51:V51)</f>
        <v>0.49070175438596486</v>
      </c>
      <c r="BG51" s="62">
        <f>AVERAGE(W51:X51)</f>
        <v>0.5</v>
      </c>
      <c r="BH51" s="62">
        <f>(Z51+Y51)/2</f>
        <v>0.5446</v>
      </c>
      <c r="BI51" s="62">
        <f>AVERAGE(AA51:AB51)</f>
        <v>0.4365627659574468</v>
      </c>
      <c r="BJ51" s="62">
        <f>AVERAGE(AC51:AD51)</f>
        <v>0.57345</v>
      </c>
      <c r="BK51" s="62">
        <f>AVERAGE(AE51:AF51)</f>
        <v>0.5654</v>
      </c>
      <c r="BL51" s="62">
        <f>AVERAGE(AG51:AH51)</f>
        <v>0.6023000000000001</v>
      </c>
      <c r="BM51" s="62">
        <f>AVERAGE(AI51:AJ51)</f>
        <v>0.61085</v>
      </c>
      <c r="BN51" s="62">
        <f>AVERAGE(AK51:AL51)</f>
        <v>0.6760545454545455</v>
      </c>
      <c r="BO51" s="62">
        <f aca="true" t="shared" si="14" ref="BO51:BT51">AVERAGE(AM51:AN51)</f>
        <v>0.7076</v>
      </c>
      <c r="BP51" s="62">
        <f t="shared" si="14"/>
        <v>0.7890909090909091</v>
      </c>
      <c r="BQ51" s="62">
        <f t="shared" si="14"/>
        <v>0.751940909090909</v>
      </c>
      <c r="BR51" s="62">
        <f t="shared" si="14"/>
        <v>0.6821357142857143</v>
      </c>
      <c r="BS51" s="62">
        <f t="shared" si="14"/>
        <v>0.6892857142857143</v>
      </c>
      <c r="BT51" s="62">
        <f t="shared" si="14"/>
        <v>0.6178571428571429</v>
      </c>
      <c r="BU51" s="62">
        <f>AVERAGE(AY51:AZ51)</f>
        <v>0.50905</v>
      </c>
      <c r="BV51" s="62">
        <f>AVERAGE(BA51:BB51)</f>
        <v>0.5939749999999999</v>
      </c>
      <c r="BW51" s="61">
        <v>177</v>
      </c>
      <c r="BX51" s="54">
        <v>236</v>
      </c>
      <c r="BY51" s="54">
        <v>317</v>
      </c>
      <c r="BZ51" s="54">
        <v>406</v>
      </c>
      <c r="CA51" s="54">
        <v>452</v>
      </c>
      <c r="CB51" s="54">
        <v>418</v>
      </c>
      <c r="CC51" s="54">
        <v>428</v>
      </c>
      <c r="CD51" s="44">
        <v>430</v>
      </c>
      <c r="CE51" s="54">
        <v>405</v>
      </c>
      <c r="CF51" s="54">
        <v>406</v>
      </c>
      <c r="CG51" s="54">
        <f>400+28</f>
        <v>428</v>
      </c>
      <c r="CH51" s="54">
        <f>388+27</f>
        <v>415</v>
      </c>
      <c r="CI51" s="54">
        <f>398+23</f>
        <v>421</v>
      </c>
      <c r="CJ51" s="54">
        <f>376+18</f>
        <v>394</v>
      </c>
      <c r="CK51" s="54">
        <f>364+23</f>
        <v>387</v>
      </c>
      <c r="CL51" s="54">
        <f>345+32</f>
        <v>377</v>
      </c>
      <c r="CM51" s="54">
        <f>347+37</f>
        <v>384</v>
      </c>
      <c r="CN51" s="54">
        <f>346+34</f>
        <v>380</v>
      </c>
      <c r="CO51" s="54">
        <f>346+32</f>
        <v>378</v>
      </c>
      <c r="CP51" s="54">
        <v>377</v>
      </c>
      <c r="CQ51" s="54">
        <v>365</v>
      </c>
      <c r="CR51" s="55">
        <v>0.6</v>
      </c>
      <c r="CS51" s="55">
        <v>0.72</v>
      </c>
      <c r="CT51" s="55">
        <v>0.75</v>
      </c>
      <c r="CU51" s="55">
        <v>0.87</v>
      </c>
      <c r="CV51" s="55">
        <v>0.83</v>
      </c>
      <c r="CW51" s="64">
        <v>0.83</v>
      </c>
      <c r="CX51" s="64">
        <v>0.88</v>
      </c>
      <c r="CY51" s="55">
        <v>0.82</v>
      </c>
      <c r="CZ51" s="55">
        <v>0.85</v>
      </c>
      <c r="DA51" s="55">
        <v>0.95</v>
      </c>
      <c r="DB51" s="55">
        <v>0.88</v>
      </c>
      <c r="DC51" s="55"/>
      <c r="DD51" s="55">
        <v>0.87</v>
      </c>
      <c r="DE51" s="55">
        <v>0.95</v>
      </c>
      <c r="DF51" s="55">
        <v>0.74</v>
      </c>
      <c r="DG51" s="55">
        <v>0.86</v>
      </c>
      <c r="DH51" s="55">
        <v>0.87</v>
      </c>
      <c r="DI51" s="55">
        <v>0.68</v>
      </c>
      <c r="DJ51" s="55">
        <v>0.87</v>
      </c>
      <c r="DK51" s="55">
        <v>0.7391304347826086</v>
      </c>
      <c r="DL51" s="55">
        <v>0.76</v>
      </c>
      <c r="DM51" s="55">
        <v>0.89</v>
      </c>
      <c r="DN51" s="55">
        <v>0.82</v>
      </c>
      <c r="DO51" s="55">
        <v>0.5217391304347826</v>
      </c>
      <c r="DP51" s="55">
        <v>0.8166666666666667</v>
      </c>
      <c r="DQ51" s="55">
        <v>0.90625</v>
      </c>
      <c r="DR51" s="55">
        <v>0.94</v>
      </c>
      <c r="DS51" s="55">
        <v>0.94</v>
      </c>
      <c r="DT51" s="55">
        <v>0.75</v>
      </c>
      <c r="DU51" s="55">
        <v>0.71</v>
      </c>
      <c r="DV51" s="55">
        <v>0.85</v>
      </c>
      <c r="DW51" s="55">
        <v>0.9</v>
      </c>
      <c r="DX51" s="55">
        <v>0.84</v>
      </c>
      <c r="DY51" s="122">
        <v>0.618</v>
      </c>
      <c r="DZ51" s="122">
        <v>1</v>
      </c>
      <c r="EA51" s="124">
        <v>0.677</v>
      </c>
      <c r="EB51" s="124">
        <v>0.898</v>
      </c>
      <c r="EC51" s="122">
        <v>0.773</v>
      </c>
      <c r="ED51" s="122">
        <v>0.944</v>
      </c>
      <c r="EE51" s="124">
        <v>0.791</v>
      </c>
      <c r="EF51" s="124">
        <v>0.946</v>
      </c>
      <c r="EG51" s="122">
        <v>0.655</v>
      </c>
      <c r="EH51" s="122">
        <v>0.864</v>
      </c>
      <c r="EI51" s="124">
        <v>0.747</v>
      </c>
      <c r="EJ51" s="124">
        <v>0.889</v>
      </c>
      <c r="EK51" s="122">
        <v>0.864</v>
      </c>
      <c r="EL51" s="122">
        <v>1</v>
      </c>
      <c r="EM51" s="124">
        <v>0.686</v>
      </c>
      <c r="EN51" s="124">
        <v>0.98</v>
      </c>
      <c r="EO51" s="122">
        <v>0.714</v>
      </c>
      <c r="EP51" s="122">
        <v>0.909</v>
      </c>
      <c r="EQ51" s="123">
        <v>0.729</v>
      </c>
      <c r="ER51" s="123">
        <v>0.911</v>
      </c>
      <c r="ES51" s="122">
        <v>0.643</v>
      </c>
      <c r="ET51" s="122">
        <v>0.9</v>
      </c>
      <c r="EU51" s="123">
        <v>0.735</v>
      </c>
      <c r="EV51" s="123">
        <v>0.926</v>
      </c>
      <c r="EW51" s="122">
        <v>0.565</v>
      </c>
      <c r="EX51" s="122">
        <v>1</v>
      </c>
      <c r="EY51" s="123">
        <v>0.259</v>
      </c>
      <c r="EZ51" s="123">
        <v>0.357</v>
      </c>
      <c r="FA51" s="122">
        <v>0.111</v>
      </c>
      <c r="FB51" s="122">
        <v>0.167</v>
      </c>
      <c r="FC51" s="123">
        <v>0.347</v>
      </c>
      <c r="FD51" s="123">
        <v>0.556</v>
      </c>
      <c r="FE51" s="122">
        <v>0.217</v>
      </c>
      <c r="FF51" s="122">
        <v>0.455</v>
      </c>
      <c r="FG51" s="123">
        <v>0.1</v>
      </c>
      <c r="FH51" s="123">
        <v>0.158</v>
      </c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58" customFormat="1" ht="12.75">
      <c r="A52" s="47" t="s">
        <v>29</v>
      </c>
      <c r="B52" s="28" t="s">
        <v>228</v>
      </c>
      <c r="C52" s="39" t="s">
        <v>9</v>
      </c>
      <c r="D52" s="39">
        <v>5092100006</v>
      </c>
      <c r="E52" s="39">
        <v>571200006</v>
      </c>
      <c r="F52" s="26" t="s">
        <v>350</v>
      </c>
      <c r="G52" s="10" t="s">
        <v>318</v>
      </c>
      <c r="H52" s="10" t="s">
        <v>67</v>
      </c>
      <c r="I52" s="10" t="s">
        <v>165</v>
      </c>
      <c r="J52" s="10" t="s">
        <v>170</v>
      </c>
      <c r="K52" s="61"/>
      <c r="L52" s="75"/>
      <c r="M52" s="83"/>
      <c r="N52" s="62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62"/>
      <c r="AF52" s="62"/>
      <c r="AG52" s="62"/>
      <c r="AH52" s="62"/>
      <c r="AI52" s="62"/>
      <c r="AJ52" s="62"/>
      <c r="AK52" s="92"/>
      <c r="AL52" s="86"/>
      <c r="AM52" s="76"/>
      <c r="AN52" s="76"/>
      <c r="AO52" s="76"/>
      <c r="AP52" s="76"/>
      <c r="AQ52" s="76"/>
      <c r="AR52" s="81">
        <v>0.6956521739130435</v>
      </c>
      <c r="AS52" s="81">
        <v>0.6451612903225806</v>
      </c>
      <c r="AT52" s="81">
        <v>0.696969696969697</v>
      </c>
      <c r="AU52" s="81">
        <v>0.8076923076923077</v>
      </c>
      <c r="AV52" s="81">
        <v>0.65625</v>
      </c>
      <c r="AW52" s="81">
        <v>0.6047</v>
      </c>
      <c r="AX52" s="81">
        <v>0.5857</v>
      </c>
      <c r="AY52" s="88" t="s">
        <v>211</v>
      </c>
      <c r="AZ52" s="89">
        <v>0</v>
      </c>
      <c r="BA52" s="88" t="s">
        <v>211</v>
      </c>
      <c r="BB52" s="88"/>
      <c r="BC52" s="60"/>
      <c r="BD52" s="60"/>
      <c r="BE52" s="60"/>
      <c r="BF52" s="60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 t="e">
        <f>AVERAGE(BA52:BB52)</f>
        <v>#DIV/0!</v>
      </c>
      <c r="BW52" s="78"/>
      <c r="BX52" s="78"/>
      <c r="BY52" s="78"/>
      <c r="BZ52" s="54"/>
      <c r="CA52" s="54"/>
      <c r="CB52" s="54"/>
      <c r="CC52" s="54"/>
      <c r="CD52" s="44"/>
      <c r="CE52" s="54"/>
      <c r="CF52" s="54"/>
      <c r="CG52" s="54"/>
      <c r="CH52" s="54"/>
      <c r="CI52" s="54">
        <f>87+33</f>
        <v>120</v>
      </c>
      <c r="CJ52" s="54">
        <f>243+64</f>
        <v>307</v>
      </c>
      <c r="CK52" s="54">
        <f>408+70</f>
        <v>478</v>
      </c>
      <c r="CL52" s="54">
        <f>476+74</f>
        <v>550</v>
      </c>
      <c r="CM52" s="54">
        <f>603+69</f>
        <v>672</v>
      </c>
      <c r="CN52" s="54">
        <f>601+69</f>
        <v>670</v>
      </c>
      <c r="CO52" s="54">
        <f>592+72</f>
        <v>664</v>
      </c>
      <c r="CP52" s="54">
        <v>723</v>
      </c>
      <c r="CQ52" s="54">
        <v>694</v>
      </c>
      <c r="CR52" s="76"/>
      <c r="CS52" s="76"/>
      <c r="CT52" s="76"/>
      <c r="CU52" s="55"/>
      <c r="CV52" s="55"/>
      <c r="CW52" s="64"/>
      <c r="CX52" s="64"/>
      <c r="CY52" s="55"/>
      <c r="CZ52" s="66"/>
      <c r="DA52" s="66"/>
      <c r="DB52" s="66"/>
      <c r="DC52" s="66"/>
      <c r="DD52" s="66"/>
      <c r="DE52" s="66"/>
      <c r="DF52" s="66"/>
      <c r="DG52" s="66"/>
      <c r="DH52" s="66"/>
      <c r="DI52" s="55">
        <v>0.83</v>
      </c>
      <c r="DJ52" s="55">
        <v>0.9</v>
      </c>
      <c r="DK52" s="55">
        <v>0.8484848484848485</v>
      </c>
      <c r="DL52" s="55">
        <v>0.97</v>
      </c>
      <c r="DM52" s="55">
        <v>0.91</v>
      </c>
      <c r="DN52" s="55">
        <v>0.85</v>
      </c>
      <c r="DO52" s="55">
        <v>0.8</v>
      </c>
      <c r="DP52" s="55">
        <v>0.8522727272727273</v>
      </c>
      <c r="DQ52" s="55">
        <v>0.69</v>
      </c>
      <c r="DR52" s="55">
        <v>0.81</v>
      </c>
      <c r="DS52" s="55">
        <v>0.8</v>
      </c>
      <c r="DT52" s="55">
        <v>0.74</v>
      </c>
      <c r="DU52" s="55">
        <v>0.69</v>
      </c>
      <c r="DV52" s="55">
        <v>0.86</v>
      </c>
      <c r="DW52" s="55">
        <v>0.9154929577464789</v>
      </c>
      <c r="DX52" s="55">
        <v>0.85</v>
      </c>
      <c r="DY52" s="122" t="s">
        <v>211</v>
      </c>
      <c r="DZ52" s="122" t="s">
        <v>211</v>
      </c>
      <c r="EA52" s="124" t="s">
        <v>211</v>
      </c>
      <c r="EB52" s="124" t="s">
        <v>211</v>
      </c>
      <c r="EC52" s="122" t="s">
        <v>211</v>
      </c>
      <c r="ED52" s="122" t="s">
        <v>211</v>
      </c>
      <c r="EE52" s="124" t="s">
        <v>211</v>
      </c>
      <c r="EF52" s="124" t="s">
        <v>211</v>
      </c>
      <c r="EG52" s="122" t="s">
        <v>211</v>
      </c>
      <c r="EH52" s="122" t="s">
        <v>211</v>
      </c>
      <c r="EI52" s="124" t="s">
        <v>211</v>
      </c>
      <c r="EJ52" s="124" t="s">
        <v>211</v>
      </c>
      <c r="EK52" s="122" t="s">
        <v>211</v>
      </c>
      <c r="EL52" s="122" t="s">
        <v>211</v>
      </c>
      <c r="EM52" s="124" t="s">
        <v>211</v>
      </c>
      <c r="EN52" s="124" t="s">
        <v>211</v>
      </c>
      <c r="EO52" s="122" t="s">
        <v>211</v>
      </c>
      <c r="EP52" s="122" t="s">
        <v>211</v>
      </c>
      <c r="EQ52" s="124">
        <v>0.913</v>
      </c>
      <c r="ER52" s="124">
        <v>1</v>
      </c>
      <c r="ES52" s="122">
        <v>0.823</v>
      </c>
      <c r="ET52" s="122">
        <v>1</v>
      </c>
      <c r="EU52" s="124">
        <v>0.788</v>
      </c>
      <c r="EV52" s="124">
        <v>1</v>
      </c>
      <c r="EW52" s="122">
        <v>0.833</v>
      </c>
      <c r="EX52" s="122">
        <v>0.915</v>
      </c>
      <c r="EY52" s="124">
        <v>0.641</v>
      </c>
      <c r="EZ52" s="124">
        <v>0.891</v>
      </c>
      <c r="FA52" s="122">
        <v>0.686</v>
      </c>
      <c r="FB52" s="122">
        <v>0.967</v>
      </c>
      <c r="FC52" s="124">
        <v>0.514</v>
      </c>
      <c r="FD52" s="124">
        <v>0.857</v>
      </c>
      <c r="FE52" s="122" t="s">
        <v>211</v>
      </c>
      <c r="FF52" s="122" t="s">
        <v>211</v>
      </c>
      <c r="FG52" s="124">
        <v>0</v>
      </c>
      <c r="FH52" s="124">
        <v>0</v>
      </c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58" customFormat="1" ht="12.75">
      <c r="A53" s="47" t="s">
        <v>29</v>
      </c>
      <c r="B53" s="28" t="s">
        <v>228</v>
      </c>
      <c r="C53" s="39" t="s">
        <v>9</v>
      </c>
      <c r="D53" s="49">
        <v>5091100006</v>
      </c>
      <c r="E53" s="39">
        <v>571101006</v>
      </c>
      <c r="F53" s="26" t="s">
        <v>127</v>
      </c>
      <c r="G53" s="10" t="s">
        <v>318</v>
      </c>
      <c r="H53" s="10"/>
      <c r="I53" s="10" t="s">
        <v>165</v>
      </c>
      <c r="J53" s="10" t="s">
        <v>170</v>
      </c>
      <c r="K53" s="61"/>
      <c r="L53" s="75"/>
      <c r="M53" s="83"/>
      <c r="N53" s="62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62"/>
      <c r="AF53" s="62"/>
      <c r="AG53" s="62"/>
      <c r="AH53" s="62"/>
      <c r="AI53" s="62"/>
      <c r="AJ53" s="62"/>
      <c r="AK53" s="92"/>
      <c r="AL53" s="86"/>
      <c r="AM53" s="76"/>
      <c r="AN53" s="76"/>
      <c r="AO53" s="76"/>
      <c r="AP53" s="76"/>
      <c r="AQ53" s="76"/>
      <c r="AR53" s="76" t="s">
        <v>211</v>
      </c>
      <c r="AS53" s="76" t="s">
        <v>211</v>
      </c>
      <c r="AT53" s="76" t="s">
        <v>211</v>
      </c>
      <c r="AU53" s="76" t="s">
        <v>211</v>
      </c>
      <c r="AV53" s="76" t="s">
        <v>211</v>
      </c>
      <c r="AW53" s="76"/>
      <c r="AX53" s="76"/>
      <c r="AY53" s="76"/>
      <c r="AZ53" s="76"/>
      <c r="BA53" s="76"/>
      <c r="BB53" s="76"/>
      <c r="BC53" s="60"/>
      <c r="BD53" s="60"/>
      <c r="BE53" s="60"/>
      <c r="BF53" s="60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78"/>
      <c r="BX53" s="78"/>
      <c r="BY53" s="78"/>
      <c r="BZ53" s="54"/>
      <c r="CA53" s="54"/>
      <c r="CB53" s="54"/>
      <c r="CC53" s="54"/>
      <c r="CD53" s="44"/>
      <c r="CE53" s="54"/>
      <c r="CF53" s="54"/>
      <c r="CG53" s="54"/>
      <c r="CH53" s="54"/>
      <c r="CI53" s="54"/>
      <c r="CJ53" s="54"/>
      <c r="CK53" s="54"/>
      <c r="CL53" s="54">
        <f>34+33</f>
        <v>67</v>
      </c>
      <c r="CM53" s="54">
        <f>95+34</f>
        <v>129</v>
      </c>
      <c r="CN53" s="54">
        <f>134+35</f>
        <v>169</v>
      </c>
      <c r="CO53" s="54">
        <f>143+35</f>
        <v>178</v>
      </c>
      <c r="CP53" s="54">
        <v>160</v>
      </c>
      <c r="CQ53" s="54">
        <v>138</v>
      </c>
      <c r="CR53" s="76"/>
      <c r="CS53" s="76"/>
      <c r="CT53" s="76"/>
      <c r="CU53" s="55"/>
      <c r="CV53" s="55"/>
      <c r="CW53" s="64"/>
      <c r="CX53" s="64"/>
      <c r="CY53" s="55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55">
        <v>0.9117647058823529</v>
      </c>
      <c r="DQ53" s="55">
        <v>0.8857142857142857</v>
      </c>
      <c r="DR53" s="55">
        <v>0.7575757575757576</v>
      </c>
      <c r="DS53" s="55">
        <v>0.64</v>
      </c>
      <c r="DT53" s="55">
        <v>0.79</v>
      </c>
      <c r="DU53" s="55">
        <v>0.61</v>
      </c>
      <c r="DV53" s="55">
        <v>0.38</v>
      </c>
      <c r="DW53" s="55">
        <v>0.48484848484848486</v>
      </c>
      <c r="DX53" s="55">
        <v>0.69</v>
      </c>
      <c r="DY53" s="122" t="s">
        <v>211</v>
      </c>
      <c r="DZ53" s="122" t="s">
        <v>211</v>
      </c>
      <c r="EA53" s="124" t="s">
        <v>211</v>
      </c>
      <c r="EB53" s="124" t="s">
        <v>211</v>
      </c>
      <c r="EC53" s="122" t="s">
        <v>211</v>
      </c>
      <c r="ED53" s="122" t="s">
        <v>211</v>
      </c>
      <c r="EE53" s="124" t="s">
        <v>211</v>
      </c>
      <c r="EF53" s="124" t="s">
        <v>211</v>
      </c>
      <c r="EG53" s="122" t="s">
        <v>211</v>
      </c>
      <c r="EH53" s="122" t="s">
        <v>211</v>
      </c>
      <c r="EI53" s="124" t="s">
        <v>211</v>
      </c>
      <c r="EJ53" s="124" t="s">
        <v>211</v>
      </c>
      <c r="EK53" s="122" t="s">
        <v>211</v>
      </c>
      <c r="EL53" s="122" t="s">
        <v>211</v>
      </c>
      <c r="EM53" s="124" t="s">
        <v>211</v>
      </c>
      <c r="EN53" s="124" t="s">
        <v>211</v>
      </c>
      <c r="EO53" s="122" t="s">
        <v>211</v>
      </c>
      <c r="EP53" s="122" t="s">
        <v>211</v>
      </c>
      <c r="EQ53" s="124" t="s">
        <v>211</v>
      </c>
      <c r="ER53" s="124" t="s">
        <v>211</v>
      </c>
      <c r="ES53" s="122" t="s">
        <v>211</v>
      </c>
      <c r="ET53" s="122" t="s">
        <v>211</v>
      </c>
      <c r="EU53" s="124" t="s">
        <v>211</v>
      </c>
      <c r="EV53" s="124" t="s">
        <v>211</v>
      </c>
      <c r="EW53" s="122" t="s">
        <v>211</v>
      </c>
      <c r="EX53" s="122" t="s">
        <v>211</v>
      </c>
      <c r="EY53" s="124" t="s">
        <v>211</v>
      </c>
      <c r="EZ53" s="124" t="s">
        <v>211</v>
      </c>
      <c r="FA53" s="122" t="s">
        <v>211</v>
      </c>
      <c r="FB53" s="122" t="s">
        <v>211</v>
      </c>
      <c r="FC53" s="124" t="s">
        <v>211</v>
      </c>
      <c r="FD53" s="124" t="s">
        <v>211</v>
      </c>
      <c r="FE53" s="122" t="s">
        <v>211</v>
      </c>
      <c r="FF53" s="122" t="s">
        <v>211</v>
      </c>
      <c r="FG53" s="124" t="s">
        <v>211</v>
      </c>
      <c r="FH53" s="124" t="s">
        <v>211</v>
      </c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58" customFormat="1" ht="12.75">
      <c r="A54" s="47" t="s">
        <v>29</v>
      </c>
      <c r="B54" s="28" t="s">
        <v>228</v>
      </c>
      <c r="C54" s="37" t="s">
        <v>9</v>
      </c>
      <c r="D54" s="37">
        <v>4092100002</v>
      </c>
      <c r="E54" s="37"/>
      <c r="F54" s="34" t="s">
        <v>432</v>
      </c>
      <c r="G54" s="10" t="s">
        <v>322</v>
      </c>
      <c r="H54" s="10" t="s">
        <v>64</v>
      </c>
      <c r="I54" s="10" t="s">
        <v>165</v>
      </c>
      <c r="J54" s="10" t="s">
        <v>170</v>
      </c>
      <c r="K54" s="61"/>
      <c r="L54" s="75"/>
      <c r="M54" s="62"/>
      <c r="N54" s="62"/>
      <c r="O54" s="76"/>
      <c r="P54" s="76"/>
      <c r="Q54" s="62">
        <v>0.5714285714285714</v>
      </c>
      <c r="R54" s="62">
        <v>0.5</v>
      </c>
      <c r="S54" s="62">
        <v>0.8333333333333334</v>
      </c>
      <c r="T54" s="62">
        <v>0.4117647058823529</v>
      </c>
      <c r="U54" s="62">
        <v>0.47619047619047616</v>
      </c>
      <c r="V54" s="62">
        <v>0.6</v>
      </c>
      <c r="W54" s="62">
        <v>0.8</v>
      </c>
      <c r="X54" s="62">
        <v>0.6666666666666666</v>
      </c>
      <c r="Y54" s="62">
        <v>0.7037037037037037</v>
      </c>
      <c r="Z54" s="62">
        <v>0.7083333333333334</v>
      </c>
      <c r="AA54" s="62">
        <v>0.8571428571428571</v>
      </c>
      <c r="AB54" s="62">
        <v>0.8</v>
      </c>
      <c r="AC54" s="62">
        <v>0.6785714285714286</v>
      </c>
      <c r="AD54" s="62">
        <v>0.7142857142857143</v>
      </c>
      <c r="AE54" s="62">
        <v>0.7560975609756098</v>
      </c>
      <c r="AF54" s="62">
        <v>0.6666666666666666</v>
      </c>
      <c r="AG54" s="62">
        <v>0.78125</v>
      </c>
      <c r="AH54" s="62">
        <v>0.5909090909090909</v>
      </c>
      <c r="AI54" s="62">
        <v>0.5128</v>
      </c>
      <c r="AJ54" s="62">
        <v>0.6486</v>
      </c>
      <c r="AK54" s="80">
        <v>0.6206896551724138</v>
      </c>
      <c r="AL54" s="81">
        <v>0.6052631578947368</v>
      </c>
      <c r="AM54" s="81">
        <v>0.7222222222222222</v>
      </c>
      <c r="AN54" s="81">
        <v>0.6666666666666666</v>
      </c>
      <c r="AO54" s="81"/>
      <c r="AP54" s="81"/>
      <c r="AQ54" s="81"/>
      <c r="AR54" s="89" t="s">
        <v>211</v>
      </c>
      <c r="AS54" s="89" t="s">
        <v>211</v>
      </c>
      <c r="AT54" s="89" t="s">
        <v>211</v>
      </c>
      <c r="AU54" s="89" t="s">
        <v>211</v>
      </c>
      <c r="AV54" s="89" t="s">
        <v>211</v>
      </c>
      <c r="AW54" s="89"/>
      <c r="AX54" s="89"/>
      <c r="AY54" s="89"/>
      <c r="AZ54" s="89"/>
      <c r="BA54" s="89"/>
      <c r="BB54" s="89"/>
      <c r="BC54" s="60"/>
      <c r="BD54" s="60"/>
      <c r="BE54" s="60"/>
      <c r="BF54" s="60"/>
      <c r="BG54" s="62"/>
      <c r="BH54" s="62"/>
      <c r="BI54" s="62"/>
      <c r="BJ54" s="62"/>
      <c r="BK54" s="62"/>
      <c r="BL54" s="62"/>
      <c r="BM54" s="62">
        <f>AVERAGE(AI54:AJ54)</f>
        <v>0.5807</v>
      </c>
      <c r="BN54" s="62">
        <f>AVERAGE(AK54:AL54)</f>
        <v>0.6129764065335753</v>
      </c>
      <c r="BO54" s="62">
        <f>AVERAGE(AM54:AN54)</f>
        <v>0.6944444444444444</v>
      </c>
      <c r="BP54" s="62">
        <f>AVERAGE(AN54:AO54)</f>
        <v>0.6666666666666666</v>
      </c>
      <c r="BQ54" s="62"/>
      <c r="BR54" s="62"/>
      <c r="BS54" s="62"/>
      <c r="BT54" s="62"/>
      <c r="BU54" s="62"/>
      <c r="BV54" s="62"/>
      <c r="BW54" s="54">
        <v>20</v>
      </c>
      <c r="BX54" s="54">
        <v>39</v>
      </c>
      <c r="BY54" s="54">
        <v>52</v>
      </c>
      <c r="BZ54" s="54">
        <v>61</v>
      </c>
      <c r="CA54" s="54">
        <v>95</v>
      </c>
      <c r="CB54" s="54">
        <v>86</v>
      </c>
      <c r="CC54" s="54">
        <v>95</v>
      </c>
      <c r="CD54" s="44">
        <v>124</v>
      </c>
      <c r="CE54" s="54">
        <v>136</v>
      </c>
      <c r="CF54" s="54">
        <v>150</v>
      </c>
      <c r="CG54" s="54">
        <f>118+38</f>
        <v>156</v>
      </c>
      <c r="CH54" s="54">
        <f>152+40</f>
        <v>192</v>
      </c>
      <c r="CI54" s="54">
        <v>111</v>
      </c>
      <c r="CJ54" s="54">
        <v>39</v>
      </c>
      <c r="CK54" s="121"/>
      <c r="CL54" s="127"/>
      <c r="CM54" s="127"/>
      <c r="CN54" s="127">
        <v>0</v>
      </c>
      <c r="CO54" s="127"/>
      <c r="CP54" s="127"/>
      <c r="CQ54" s="127"/>
      <c r="CR54" s="55">
        <v>0.92</v>
      </c>
      <c r="CS54" s="55">
        <v>0.57</v>
      </c>
      <c r="CT54" s="55">
        <v>0.93</v>
      </c>
      <c r="CU54" s="55">
        <v>0.81</v>
      </c>
      <c r="CV54" s="55">
        <v>0.95</v>
      </c>
      <c r="CW54" s="64">
        <v>0.9</v>
      </c>
      <c r="CX54" s="64">
        <v>0.82</v>
      </c>
      <c r="CY54" s="55">
        <v>0.86</v>
      </c>
      <c r="CZ54" s="55">
        <v>0.83</v>
      </c>
      <c r="DA54" s="55">
        <v>0.8</v>
      </c>
      <c r="DB54" s="55">
        <v>0.88</v>
      </c>
      <c r="DC54" s="55">
        <v>0.64</v>
      </c>
      <c r="DD54" s="55">
        <v>0.85</v>
      </c>
      <c r="DE54" s="55">
        <v>0.81</v>
      </c>
      <c r="DF54" s="55">
        <v>0.9</v>
      </c>
      <c r="DG54" s="55">
        <v>0.68</v>
      </c>
      <c r="DH54" s="55">
        <v>0.8333</v>
      </c>
      <c r="DI54" s="55">
        <v>0.83</v>
      </c>
      <c r="DJ54" s="55">
        <v>0.67</v>
      </c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128" t="s">
        <v>206</v>
      </c>
      <c r="EJ54" s="128" t="s">
        <v>206</v>
      </c>
      <c r="EK54" s="120" t="s">
        <v>211</v>
      </c>
      <c r="EL54" s="120" t="s">
        <v>211</v>
      </c>
      <c r="EM54" s="120" t="s">
        <v>211</v>
      </c>
      <c r="EN54" s="120" t="s">
        <v>211</v>
      </c>
      <c r="EO54" s="120" t="s">
        <v>211</v>
      </c>
      <c r="EP54" s="120" t="s">
        <v>211</v>
      </c>
      <c r="EQ54" s="120" t="s">
        <v>211</v>
      </c>
      <c r="ER54" s="124" t="s">
        <v>211</v>
      </c>
      <c r="ES54" s="122" t="s">
        <v>211</v>
      </c>
      <c r="ET54" s="122" t="s">
        <v>211</v>
      </c>
      <c r="EU54" s="124" t="s">
        <v>211</v>
      </c>
      <c r="EV54" s="124" t="s">
        <v>211</v>
      </c>
      <c r="EW54" s="122" t="s">
        <v>211</v>
      </c>
      <c r="EX54" s="122" t="s">
        <v>211</v>
      </c>
      <c r="EY54" s="124" t="s">
        <v>211</v>
      </c>
      <c r="EZ54" s="124" t="s">
        <v>211</v>
      </c>
      <c r="FA54" s="122" t="s">
        <v>211</v>
      </c>
      <c r="FB54" s="122" t="s">
        <v>211</v>
      </c>
      <c r="FC54" s="124" t="s">
        <v>211</v>
      </c>
      <c r="FD54" s="124" t="s">
        <v>211</v>
      </c>
      <c r="FE54" s="122"/>
      <c r="FF54" s="122"/>
      <c r="FG54" s="124"/>
      <c r="FH54" s="124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58" customFormat="1" ht="12.75">
      <c r="A55" s="47" t="s">
        <v>39</v>
      </c>
      <c r="B55" s="9" t="s">
        <v>351</v>
      </c>
      <c r="C55" s="39" t="s">
        <v>24</v>
      </c>
      <c r="D55" s="39"/>
      <c r="E55" s="39"/>
      <c r="F55" s="9" t="s">
        <v>25</v>
      </c>
      <c r="G55" s="9" t="s">
        <v>323</v>
      </c>
      <c r="H55" s="9" t="s">
        <v>61</v>
      </c>
      <c r="I55" s="9" t="s">
        <v>162</v>
      </c>
      <c r="J55" s="9" t="s">
        <v>174</v>
      </c>
      <c r="K55" s="61"/>
      <c r="L55" s="75"/>
      <c r="M55" s="62"/>
      <c r="N55" s="62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7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50"/>
      <c r="BD55" s="50"/>
      <c r="BE55" s="50"/>
      <c r="BF55" s="50"/>
      <c r="BG55" s="54"/>
      <c r="BH55" s="54"/>
      <c r="BI55" s="54"/>
      <c r="BJ55" s="54"/>
      <c r="BK55" s="54"/>
      <c r="BL55" s="54"/>
      <c r="BM55" s="54"/>
      <c r="BN55" s="54"/>
      <c r="BO55" s="54"/>
      <c r="BP55" s="62"/>
      <c r="BQ55" s="62"/>
      <c r="BR55" s="62"/>
      <c r="BS55" s="62"/>
      <c r="BT55" s="62"/>
      <c r="BU55" s="62"/>
      <c r="BV55" s="62"/>
      <c r="BW55" s="78"/>
      <c r="BX55" s="78"/>
      <c r="BY55" s="78"/>
      <c r="BZ55" s="78"/>
      <c r="CA55" s="78"/>
      <c r="CB55" s="78"/>
      <c r="CC55" s="78"/>
      <c r="CD55" s="78"/>
      <c r="CE55" s="78"/>
      <c r="CF55" s="54"/>
      <c r="CG55" s="54"/>
      <c r="CH55" s="54"/>
      <c r="CI55" s="54"/>
      <c r="CJ55" s="54"/>
      <c r="CK55" s="54"/>
      <c r="CL55" s="54"/>
      <c r="CM55" s="54"/>
      <c r="CN55" s="54"/>
      <c r="CO55" s="54">
        <v>76</v>
      </c>
      <c r="CP55" s="54">
        <v>214</v>
      </c>
      <c r="CQ55" s="54">
        <v>348</v>
      </c>
      <c r="CR55" s="55"/>
      <c r="CS55" s="55"/>
      <c r="CT55" s="55"/>
      <c r="CU55" s="55"/>
      <c r="CV55" s="55"/>
      <c r="CW55" s="64"/>
      <c r="CX55" s="64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>
        <v>0.89</v>
      </c>
      <c r="DW55" s="55">
        <v>0.9060402684563759</v>
      </c>
      <c r="DX55" s="55">
        <v>0.89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47"/>
      <c r="EL55" s="47"/>
      <c r="EM55" s="120"/>
      <c r="EN55" s="12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58" customFormat="1" ht="12.75">
      <c r="A56" s="47" t="s">
        <v>39</v>
      </c>
      <c r="B56" s="47" t="s">
        <v>351</v>
      </c>
      <c r="C56" s="39" t="s">
        <v>11</v>
      </c>
      <c r="D56" s="39">
        <v>5041400026</v>
      </c>
      <c r="E56" s="39">
        <v>533400026</v>
      </c>
      <c r="F56" s="26" t="s">
        <v>352</v>
      </c>
      <c r="G56" s="10" t="s">
        <v>318</v>
      </c>
      <c r="H56" s="10" t="s">
        <v>65</v>
      </c>
      <c r="I56" s="10" t="s">
        <v>166</v>
      </c>
      <c r="J56" s="10" t="s">
        <v>172</v>
      </c>
      <c r="K56" s="61">
        <v>1</v>
      </c>
      <c r="L56" s="75" t="s">
        <v>22</v>
      </c>
      <c r="M56" s="62" t="s">
        <v>21</v>
      </c>
      <c r="N56" s="62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62">
        <v>0.275</v>
      </c>
      <c r="AE56" s="62">
        <v>0</v>
      </c>
      <c r="AF56" s="62">
        <v>0.3333</v>
      </c>
      <c r="AG56" s="62">
        <v>0.2222</v>
      </c>
      <c r="AH56" s="62">
        <v>0.4091</v>
      </c>
      <c r="AI56" s="62">
        <v>0.2143</v>
      </c>
      <c r="AJ56" s="62">
        <v>0.4286</v>
      </c>
      <c r="AK56" s="80">
        <v>0.4286</v>
      </c>
      <c r="AL56" s="62">
        <v>0.875</v>
      </c>
      <c r="AM56" s="62">
        <v>0.5</v>
      </c>
      <c r="AN56" s="62">
        <v>0.55</v>
      </c>
      <c r="AO56" s="86"/>
      <c r="AP56" s="81">
        <v>0.5</v>
      </c>
      <c r="AQ56" s="81">
        <v>0.5333333333333333</v>
      </c>
      <c r="AR56" s="81">
        <v>0.47619047619047616</v>
      </c>
      <c r="AS56" s="81">
        <v>0.42857142857142855</v>
      </c>
      <c r="AT56" s="81">
        <v>0.6666666666666666</v>
      </c>
      <c r="AU56" s="81">
        <v>0.23076923076923078</v>
      </c>
      <c r="AV56" s="81">
        <v>0.5454545454545454</v>
      </c>
      <c r="AW56" s="81">
        <v>0.625</v>
      </c>
      <c r="AX56" s="81">
        <v>0.4583</v>
      </c>
      <c r="AY56" s="81">
        <v>0.2222</v>
      </c>
      <c r="AZ56" s="81">
        <v>0.4545</v>
      </c>
      <c r="BA56" s="81">
        <v>0.5</v>
      </c>
      <c r="BB56" s="81">
        <v>0.5143</v>
      </c>
      <c r="BC56" s="60"/>
      <c r="BD56" s="60"/>
      <c r="BE56" s="60"/>
      <c r="BF56" s="60"/>
      <c r="BG56" s="62"/>
      <c r="BH56" s="62"/>
      <c r="BI56" s="62"/>
      <c r="BJ56" s="62">
        <f>AVERAGE(AC56:AD56)</f>
        <v>0.275</v>
      </c>
      <c r="BK56" s="62">
        <f>AVERAGE(AE56:AF56)</f>
        <v>0.16665</v>
      </c>
      <c r="BL56" s="62">
        <f>AVERAGE(AG56:AH56)</f>
        <v>0.31565</v>
      </c>
      <c r="BM56" s="62">
        <f>AVERAGE(AI56:AJ56)</f>
        <v>0.32145</v>
      </c>
      <c r="BN56" s="62">
        <f>AVERAGE(AK56:AL56)</f>
        <v>0.6517999999999999</v>
      </c>
      <c r="BO56" s="62">
        <f aca="true" t="shared" si="15" ref="BO56:BT56">AVERAGE(AM56:AN56)</f>
        <v>0.525</v>
      </c>
      <c r="BP56" s="62">
        <f t="shared" si="15"/>
        <v>0.55</v>
      </c>
      <c r="BQ56" s="62">
        <f t="shared" si="15"/>
        <v>0.5</v>
      </c>
      <c r="BR56" s="62">
        <f t="shared" si="15"/>
        <v>0.5166666666666666</v>
      </c>
      <c r="BS56" s="62">
        <f t="shared" si="15"/>
        <v>0.5047619047619047</v>
      </c>
      <c r="BT56" s="62">
        <f t="shared" si="15"/>
        <v>0.45238095238095233</v>
      </c>
      <c r="BU56" s="62">
        <f>AVERAGE(AY56:AZ56)</f>
        <v>0.33835000000000004</v>
      </c>
      <c r="BV56" s="62">
        <f aca="true" t="shared" si="16" ref="BV56:BV63">AVERAGE(BA56:BB56)</f>
        <v>0.50715</v>
      </c>
      <c r="BW56" s="78"/>
      <c r="BX56" s="78"/>
      <c r="BY56" s="78"/>
      <c r="BZ56" s="54">
        <v>19</v>
      </c>
      <c r="CA56" s="54">
        <v>57</v>
      </c>
      <c r="CB56" s="54">
        <v>61</v>
      </c>
      <c r="CC56" s="54">
        <v>78</v>
      </c>
      <c r="CD56" s="44">
        <v>84</v>
      </c>
      <c r="CE56" s="54">
        <v>75</v>
      </c>
      <c r="CF56" s="54">
        <v>71</v>
      </c>
      <c r="CG56" s="54">
        <f>64+15</f>
        <v>79</v>
      </c>
      <c r="CH56" s="54">
        <f>80+12</f>
        <v>92</v>
      </c>
      <c r="CI56" s="54">
        <f>79+13</f>
        <v>92</v>
      </c>
      <c r="CJ56" s="54">
        <f>97+8</f>
        <v>105</v>
      </c>
      <c r="CK56" s="54">
        <f>106+9</f>
        <v>115</v>
      </c>
      <c r="CL56" s="54">
        <f>121+6</f>
        <v>127</v>
      </c>
      <c r="CM56" s="54">
        <f>130+0</f>
        <v>130</v>
      </c>
      <c r="CN56" s="54">
        <f>128+12</f>
        <v>140</v>
      </c>
      <c r="CO56" s="54">
        <f>131+19</f>
        <v>150</v>
      </c>
      <c r="CP56" s="54">
        <v>150</v>
      </c>
      <c r="CQ56" s="54">
        <v>123</v>
      </c>
      <c r="CR56" s="76"/>
      <c r="CS56" s="76"/>
      <c r="CT56" s="76"/>
      <c r="CU56" s="55">
        <v>0.53</v>
      </c>
      <c r="CV56" s="55">
        <v>0.48</v>
      </c>
      <c r="CW56" s="64">
        <v>0.33</v>
      </c>
      <c r="CX56" s="64">
        <v>0.55</v>
      </c>
      <c r="CY56" s="55">
        <v>0.29</v>
      </c>
      <c r="CZ56" s="55">
        <v>0.48</v>
      </c>
      <c r="DA56" s="55">
        <v>0.43</v>
      </c>
      <c r="DB56" s="55">
        <v>0.88</v>
      </c>
      <c r="DC56" s="55">
        <v>0.67</v>
      </c>
      <c r="DD56" s="55">
        <v>0.65</v>
      </c>
      <c r="DE56" s="66"/>
      <c r="DF56" s="55">
        <v>0.83</v>
      </c>
      <c r="DG56" s="55">
        <v>0.67</v>
      </c>
      <c r="DH56" s="55">
        <v>0.48</v>
      </c>
      <c r="DI56" s="55">
        <v>0.57</v>
      </c>
      <c r="DJ56" s="55">
        <v>0.72</v>
      </c>
      <c r="DK56" s="55">
        <v>0.3076923076923077</v>
      </c>
      <c r="DL56" s="55">
        <v>0.76</v>
      </c>
      <c r="DM56" s="55">
        <v>0.75</v>
      </c>
      <c r="DN56" s="55">
        <v>0.54</v>
      </c>
      <c r="DO56" s="55">
        <v>0.5555555555555556</v>
      </c>
      <c r="DP56" s="55">
        <v>0.696969696969697</v>
      </c>
      <c r="DQ56" s="55">
        <v>0.5</v>
      </c>
      <c r="DR56" s="55">
        <v>0.7714285714285715</v>
      </c>
      <c r="DS56" s="66"/>
      <c r="DT56" s="55">
        <v>0.79</v>
      </c>
      <c r="DU56" s="55">
        <v>0.33</v>
      </c>
      <c r="DV56" s="55">
        <v>0.58</v>
      </c>
      <c r="DW56" s="55">
        <v>0.7647058823529411</v>
      </c>
      <c r="DX56" s="55">
        <v>0.52</v>
      </c>
      <c r="DY56" s="122" t="s">
        <v>211</v>
      </c>
      <c r="DZ56" s="122" t="s">
        <v>211</v>
      </c>
      <c r="EA56" s="123">
        <v>0.286</v>
      </c>
      <c r="EB56" s="123">
        <v>1</v>
      </c>
      <c r="EC56" s="122">
        <v>0.476</v>
      </c>
      <c r="ED56" s="122">
        <v>1</v>
      </c>
      <c r="EE56" s="123">
        <v>0.429</v>
      </c>
      <c r="EF56" s="123">
        <v>1</v>
      </c>
      <c r="EG56" s="122">
        <v>0.875</v>
      </c>
      <c r="EH56" s="122">
        <v>1</v>
      </c>
      <c r="EI56" s="123">
        <v>0.667</v>
      </c>
      <c r="EJ56" s="123">
        <v>1</v>
      </c>
      <c r="EK56" s="122">
        <v>0.6</v>
      </c>
      <c r="EL56" s="122">
        <v>1</v>
      </c>
      <c r="EM56" s="123">
        <v>0.667</v>
      </c>
      <c r="EN56" s="123">
        <v>1</v>
      </c>
      <c r="EO56" s="122">
        <v>0.6</v>
      </c>
      <c r="EP56" s="122">
        <v>1</v>
      </c>
      <c r="EQ56" s="123">
        <v>0.476</v>
      </c>
      <c r="ER56" s="123">
        <v>1</v>
      </c>
      <c r="ES56" s="122">
        <v>0.571</v>
      </c>
      <c r="ET56" s="122">
        <v>1</v>
      </c>
      <c r="EU56" s="123">
        <v>0.667</v>
      </c>
      <c r="EV56" s="123">
        <v>1</v>
      </c>
      <c r="EW56" s="122">
        <v>0.077</v>
      </c>
      <c r="EX56" s="122">
        <v>0.333</v>
      </c>
      <c r="EY56" s="123">
        <v>0.273</v>
      </c>
      <c r="EZ56" s="123">
        <v>0.391</v>
      </c>
      <c r="FA56" s="122">
        <v>0.25</v>
      </c>
      <c r="FB56" s="122">
        <v>0.333</v>
      </c>
      <c r="FC56" s="123">
        <v>0.167</v>
      </c>
      <c r="FD56" s="123">
        <v>0.308</v>
      </c>
      <c r="FE56" s="122">
        <v>0.111</v>
      </c>
      <c r="FF56" s="122">
        <v>0.333</v>
      </c>
      <c r="FG56" s="123">
        <v>0</v>
      </c>
      <c r="FH56" s="123">
        <v>0</v>
      </c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58" customFormat="1" ht="12.75">
      <c r="A57" s="47" t="s">
        <v>39</v>
      </c>
      <c r="B57" s="47" t="s">
        <v>351</v>
      </c>
      <c r="C57" s="39" t="s">
        <v>7</v>
      </c>
      <c r="D57" s="39">
        <v>5072400037</v>
      </c>
      <c r="E57" s="39">
        <v>552400029</v>
      </c>
      <c r="F57" s="26" t="s">
        <v>353</v>
      </c>
      <c r="G57" s="10" t="s">
        <v>318</v>
      </c>
      <c r="H57" s="10"/>
      <c r="I57" s="10"/>
      <c r="J57" s="10"/>
      <c r="K57" s="61"/>
      <c r="L57" s="75"/>
      <c r="M57" s="62"/>
      <c r="N57" s="62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62"/>
      <c r="AE57" s="62"/>
      <c r="AF57" s="62"/>
      <c r="AG57" s="62"/>
      <c r="AH57" s="62"/>
      <c r="AI57" s="62"/>
      <c r="AJ57" s="62"/>
      <c r="AK57" s="80"/>
      <c r="AL57" s="62"/>
      <c r="AM57" s="62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81">
        <v>0.14285714285714285</v>
      </c>
      <c r="BB57" s="81">
        <v>0.2</v>
      </c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>
        <f t="shared" si="16"/>
        <v>0.17142857142857143</v>
      </c>
      <c r="BW57" s="78"/>
      <c r="BX57" s="78"/>
      <c r="BY57" s="78"/>
      <c r="BZ57" s="54"/>
      <c r="CA57" s="54"/>
      <c r="CB57" s="54"/>
      <c r="CC57" s="54"/>
      <c r="CD57" s="44"/>
      <c r="CE57" s="54"/>
      <c r="CF57" s="54"/>
      <c r="CG57" s="54"/>
      <c r="CH57" s="54"/>
      <c r="CI57" s="54"/>
      <c r="CJ57" s="54"/>
      <c r="CK57" s="54"/>
      <c r="CL57" s="54">
        <f>12+9</f>
        <v>21</v>
      </c>
      <c r="CM57" s="54">
        <f>39+18</f>
        <v>57</v>
      </c>
      <c r="CN57" s="54">
        <f>72+7</f>
        <v>79</v>
      </c>
      <c r="CO57" s="54">
        <f>94+14</f>
        <v>108</v>
      </c>
      <c r="CP57" s="54">
        <v>122</v>
      </c>
      <c r="CQ57" s="54">
        <v>108</v>
      </c>
      <c r="CR57" s="76"/>
      <c r="CS57" s="76"/>
      <c r="CT57" s="76"/>
      <c r="CU57" s="55"/>
      <c r="CV57" s="55"/>
      <c r="CW57" s="64"/>
      <c r="CX57" s="64"/>
      <c r="CY57" s="55"/>
      <c r="CZ57" s="55"/>
      <c r="DA57" s="55"/>
      <c r="DB57" s="55"/>
      <c r="DC57" s="55"/>
      <c r="DD57" s="55"/>
      <c r="DE57" s="66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>
        <v>0.7142857142857143</v>
      </c>
      <c r="DR57" s="55">
        <v>0.84</v>
      </c>
      <c r="DS57" s="55">
        <v>0.73</v>
      </c>
      <c r="DT57" s="55">
        <v>0.6</v>
      </c>
      <c r="DU57" s="55">
        <v>0.67</v>
      </c>
      <c r="DV57" s="55">
        <v>0.63</v>
      </c>
      <c r="DW57" s="55">
        <v>0.5384615384615384</v>
      </c>
      <c r="DX57" s="55">
        <v>0.68</v>
      </c>
      <c r="DY57" s="122" t="s">
        <v>211</v>
      </c>
      <c r="DZ57" s="122" t="s">
        <v>211</v>
      </c>
      <c r="EA57" s="123" t="s">
        <v>211</v>
      </c>
      <c r="EB57" s="123" t="s">
        <v>211</v>
      </c>
      <c r="EC57" s="122" t="s">
        <v>211</v>
      </c>
      <c r="ED57" s="122" t="s">
        <v>211</v>
      </c>
      <c r="EE57" s="123" t="s">
        <v>211</v>
      </c>
      <c r="EF57" s="123" t="s">
        <v>211</v>
      </c>
      <c r="EG57" s="122" t="s">
        <v>211</v>
      </c>
      <c r="EH57" s="122" t="s">
        <v>211</v>
      </c>
      <c r="EI57" s="123" t="s">
        <v>211</v>
      </c>
      <c r="EJ57" s="123" t="s">
        <v>211</v>
      </c>
      <c r="EK57" s="122" t="s">
        <v>211</v>
      </c>
      <c r="EL57" s="122" t="s">
        <v>211</v>
      </c>
      <c r="EM57" s="123" t="s">
        <v>211</v>
      </c>
      <c r="EN57" s="123" t="s">
        <v>211</v>
      </c>
      <c r="EO57" s="122" t="s">
        <v>211</v>
      </c>
      <c r="EP57" s="122" t="s">
        <v>211</v>
      </c>
      <c r="EQ57" s="123" t="s">
        <v>211</v>
      </c>
      <c r="ER57" s="123" t="s">
        <v>211</v>
      </c>
      <c r="ES57" s="122" t="s">
        <v>211</v>
      </c>
      <c r="ET57" s="122" t="s">
        <v>211</v>
      </c>
      <c r="EU57" s="123" t="s">
        <v>211</v>
      </c>
      <c r="EV57" s="123" t="s">
        <v>211</v>
      </c>
      <c r="EW57" s="122" t="s">
        <v>211</v>
      </c>
      <c r="EX57" s="122" t="s">
        <v>211</v>
      </c>
      <c r="EY57" s="123" t="s">
        <v>211</v>
      </c>
      <c r="EZ57" s="123" t="s">
        <v>211</v>
      </c>
      <c r="FA57" s="122" t="s">
        <v>211</v>
      </c>
      <c r="FB57" s="122" t="s">
        <v>211</v>
      </c>
      <c r="FC57" s="123"/>
      <c r="FD57" s="123"/>
      <c r="FE57" s="122"/>
      <c r="FF57" s="122"/>
      <c r="FG57" s="123"/>
      <c r="FH57" s="123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58" customFormat="1" ht="12.75">
      <c r="A58" s="47" t="s">
        <v>39</v>
      </c>
      <c r="B58" s="47" t="s">
        <v>351</v>
      </c>
      <c r="C58" s="39" t="s">
        <v>15</v>
      </c>
      <c r="D58" s="39">
        <v>5033100011</v>
      </c>
      <c r="E58" s="39">
        <v>534100012</v>
      </c>
      <c r="F58" s="26" t="s">
        <v>354</v>
      </c>
      <c r="G58" s="10" t="s">
        <v>318</v>
      </c>
      <c r="H58" s="10" t="s">
        <v>65</v>
      </c>
      <c r="I58" s="10" t="s">
        <v>166</v>
      </c>
      <c r="J58" s="10" t="s">
        <v>172</v>
      </c>
      <c r="K58" s="61">
        <v>1</v>
      </c>
      <c r="L58" s="75" t="s">
        <v>22</v>
      </c>
      <c r="M58" s="62" t="s">
        <v>21</v>
      </c>
      <c r="N58" s="62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62">
        <v>0.2955</v>
      </c>
      <c r="AF58" s="62">
        <v>0.2962962962962963</v>
      </c>
      <c r="AG58" s="62">
        <v>0.5</v>
      </c>
      <c r="AH58" s="62">
        <v>0.4545</v>
      </c>
      <c r="AI58" s="62">
        <v>0.5385</v>
      </c>
      <c r="AJ58" s="62">
        <v>0.2143</v>
      </c>
      <c r="AK58" s="92"/>
      <c r="AL58" s="62">
        <v>0.7143</v>
      </c>
      <c r="AM58" s="62">
        <v>0.6</v>
      </c>
      <c r="AN58" s="62">
        <v>0.5556</v>
      </c>
      <c r="AO58" s="62">
        <v>0.4</v>
      </c>
      <c r="AP58" s="81">
        <v>0.4737</v>
      </c>
      <c r="AQ58" s="81">
        <v>0.5862068965517241</v>
      </c>
      <c r="AR58" s="81">
        <v>0.5555555555555556</v>
      </c>
      <c r="AS58" s="81">
        <v>0.34782608695652173</v>
      </c>
      <c r="AT58" s="81">
        <v>0.38461538461538464</v>
      </c>
      <c r="AU58" s="81">
        <v>0.6086956521739131</v>
      </c>
      <c r="AV58" s="81">
        <v>0.7142857142857143</v>
      </c>
      <c r="AW58" s="81">
        <v>0.4444</v>
      </c>
      <c r="AX58" s="81">
        <v>0.5</v>
      </c>
      <c r="AY58" s="81">
        <v>0.48</v>
      </c>
      <c r="AZ58" s="81">
        <v>0.389</v>
      </c>
      <c r="BA58" s="81">
        <v>0.2777777777777778</v>
      </c>
      <c r="BB58" s="81">
        <v>0.3548</v>
      </c>
      <c r="BC58" s="60"/>
      <c r="BD58" s="60"/>
      <c r="BE58" s="60"/>
      <c r="BF58" s="60"/>
      <c r="BG58" s="62"/>
      <c r="BH58" s="62"/>
      <c r="BI58" s="62"/>
      <c r="BJ58" s="62"/>
      <c r="BK58" s="62">
        <f>AVERAGE(AE58:AF58)</f>
        <v>0.29589814814814813</v>
      </c>
      <c r="BL58" s="62">
        <f>AVERAGE(AG58:AH58)</f>
        <v>0.47725</v>
      </c>
      <c r="BM58" s="62">
        <f>AVERAGE(AI58:AJ58)</f>
        <v>0.37639999999999996</v>
      </c>
      <c r="BN58" s="62">
        <f>AVERAGE(AK58:AL58)</f>
        <v>0.7143</v>
      </c>
      <c r="BO58" s="62">
        <f aca="true" t="shared" si="17" ref="BO58:BT62">AVERAGE(AM58:AN58)</f>
        <v>0.5778</v>
      </c>
      <c r="BP58" s="62">
        <f t="shared" si="17"/>
        <v>0.4778</v>
      </c>
      <c r="BQ58" s="62">
        <f t="shared" si="17"/>
        <v>0.43685</v>
      </c>
      <c r="BR58" s="62">
        <f t="shared" si="17"/>
        <v>0.5299534482758621</v>
      </c>
      <c r="BS58" s="62">
        <f t="shared" si="17"/>
        <v>0.5708812260536398</v>
      </c>
      <c r="BT58" s="62">
        <f t="shared" si="17"/>
        <v>0.45169082125603865</v>
      </c>
      <c r="BU58" s="62">
        <f>AVERAGE(AY58:AZ58)</f>
        <v>0.4345</v>
      </c>
      <c r="BV58" s="62">
        <f t="shared" si="16"/>
        <v>0.3162888888888889</v>
      </c>
      <c r="BW58" s="78"/>
      <c r="BX58" s="78"/>
      <c r="BY58" s="78"/>
      <c r="BZ58" s="54">
        <v>27</v>
      </c>
      <c r="CA58" s="54">
        <v>85</v>
      </c>
      <c r="CB58" s="54">
        <v>84</v>
      </c>
      <c r="CC58" s="54">
        <v>96</v>
      </c>
      <c r="CD58" s="44">
        <v>90</v>
      </c>
      <c r="CE58" s="54">
        <v>120</v>
      </c>
      <c r="CF58" s="54">
        <v>126</v>
      </c>
      <c r="CG58" s="54">
        <f>124+9</f>
        <v>133</v>
      </c>
      <c r="CH58" s="54">
        <f>122+14</f>
        <v>136</v>
      </c>
      <c r="CI58" s="54">
        <f>141+21</f>
        <v>162</v>
      </c>
      <c r="CJ58" s="54">
        <f>149+10</f>
        <v>159</v>
      </c>
      <c r="CK58" s="54">
        <f>149+14</f>
        <v>163</v>
      </c>
      <c r="CL58" s="54">
        <f>138+13</f>
        <v>151</v>
      </c>
      <c r="CM58" s="54">
        <f>149+19</f>
        <v>168</v>
      </c>
      <c r="CN58" s="54">
        <f>159+16</f>
        <v>175</v>
      </c>
      <c r="CO58" s="54">
        <f>147+18</f>
        <v>165</v>
      </c>
      <c r="CP58" s="54">
        <v>170</v>
      </c>
      <c r="CQ58" s="54">
        <v>171</v>
      </c>
      <c r="CR58" s="76"/>
      <c r="CS58" s="76"/>
      <c r="CT58" s="76"/>
      <c r="CU58" s="55">
        <v>0.36</v>
      </c>
      <c r="CV58" s="55">
        <v>0.64</v>
      </c>
      <c r="CW58" s="64">
        <v>0.73</v>
      </c>
      <c r="CX58" s="64">
        <v>0.69</v>
      </c>
      <c r="CY58" s="55">
        <v>0.64</v>
      </c>
      <c r="CZ58" s="66"/>
      <c r="DA58" s="55">
        <v>0.93</v>
      </c>
      <c r="DB58" s="55">
        <v>0.92</v>
      </c>
      <c r="DC58" s="55">
        <v>1</v>
      </c>
      <c r="DD58" s="55">
        <v>0.56</v>
      </c>
      <c r="DE58" s="55">
        <v>0.68</v>
      </c>
      <c r="DF58" s="55">
        <v>0.79</v>
      </c>
      <c r="DG58" s="55">
        <v>0.78</v>
      </c>
      <c r="DH58" s="55">
        <v>0.74</v>
      </c>
      <c r="DI58" s="55">
        <v>0.85</v>
      </c>
      <c r="DJ58" s="55">
        <v>0.87</v>
      </c>
      <c r="DK58" s="55">
        <v>0.8571428571428571</v>
      </c>
      <c r="DL58" s="55">
        <v>0.67</v>
      </c>
      <c r="DM58" s="55">
        <v>0.7</v>
      </c>
      <c r="DN58" s="55">
        <v>0.72</v>
      </c>
      <c r="DO58" s="55">
        <v>0.7142857142857143</v>
      </c>
      <c r="DP58" s="55">
        <v>0.7777777777777778</v>
      </c>
      <c r="DQ58" s="55">
        <v>0.6923076923076923</v>
      </c>
      <c r="DR58" s="55">
        <v>0.8064516129032258</v>
      </c>
      <c r="DS58" s="55">
        <v>0.74</v>
      </c>
      <c r="DT58" s="55">
        <v>0.46</v>
      </c>
      <c r="DU58" s="55">
        <v>0.75</v>
      </c>
      <c r="DV58" s="55">
        <v>0.63</v>
      </c>
      <c r="DW58" s="55">
        <v>0.5333333333333333</v>
      </c>
      <c r="DX58" s="55">
        <v>0.91</v>
      </c>
      <c r="DY58" s="122" t="s">
        <v>211</v>
      </c>
      <c r="DZ58" s="122" t="s">
        <v>211</v>
      </c>
      <c r="EA58" s="123" t="s">
        <v>211</v>
      </c>
      <c r="EB58" s="123" t="s">
        <v>211</v>
      </c>
      <c r="EC58" s="122">
        <v>0.786</v>
      </c>
      <c r="ED58" s="122">
        <v>1</v>
      </c>
      <c r="EE58" s="123">
        <v>0.68</v>
      </c>
      <c r="EF58" s="123">
        <v>1</v>
      </c>
      <c r="EG58" s="122">
        <v>0.778</v>
      </c>
      <c r="EH58" s="122">
        <v>1</v>
      </c>
      <c r="EI58" s="123">
        <v>0.44</v>
      </c>
      <c r="EJ58" s="123">
        <v>1</v>
      </c>
      <c r="EK58" s="122">
        <v>0.368</v>
      </c>
      <c r="EL58" s="122">
        <v>0.7</v>
      </c>
      <c r="EM58" s="123">
        <v>0.655</v>
      </c>
      <c r="EN58" s="123">
        <v>0.95</v>
      </c>
      <c r="EO58" s="122">
        <v>0.556</v>
      </c>
      <c r="EP58" s="122">
        <v>1</v>
      </c>
      <c r="EQ58" s="123">
        <v>0.391</v>
      </c>
      <c r="ER58" s="123">
        <v>1</v>
      </c>
      <c r="ES58" s="122">
        <v>0.769</v>
      </c>
      <c r="ET58" s="122">
        <v>1</v>
      </c>
      <c r="EU58" s="123">
        <v>0.652</v>
      </c>
      <c r="EV58" s="123">
        <v>1</v>
      </c>
      <c r="EW58" s="122">
        <v>0.714</v>
      </c>
      <c r="EX58" s="122">
        <v>1</v>
      </c>
      <c r="EY58" s="124">
        <v>0.37</v>
      </c>
      <c r="EZ58" s="124">
        <v>0.769</v>
      </c>
      <c r="FA58" s="122">
        <v>0.4</v>
      </c>
      <c r="FB58" s="122">
        <v>0.571</v>
      </c>
      <c r="FC58" s="124">
        <v>0.24</v>
      </c>
      <c r="FD58" s="124">
        <v>0.5</v>
      </c>
      <c r="FE58" s="122">
        <v>0.429</v>
      </c>
      <c r="FF58" s="122">
        <v>0.857</v>
      </c>
      <c r="FG58" s="124">
        <v>0.167</v>
      </c>
      <c r="FH58" s="124">
        <v>0.5</v>
      </c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58" customFormat="1" ht="12.75">
      <c r="A59" s="47" t="s">
        <v>34</v>
      </c>
      <c r="B59" s="47" t="s">
        <v>310</v>
      </c>
      <c r="C59" s="39" t="s">
        <v>35</v>
      </c>
      <c r="D59" s="39">
        <v>5021200016</v>
      </c>
      <c r="E59" s="39">
        <v>521200074</v>
      </c>
      <c r="F59" s="26" t="s">
        <v>114</v>
      </c>
      <c r="G59" s="10" t="s">
        <v>318</v>
      </c>
      <c r="H59" s="10" t="s">
        <v>66</v>
      </c>
      <c r="I59" s="10" t="s">
        <v>167</v>
      </c>
      <c r="J59" s="10" t="s">
        <v>173</v>
      </c>
      <c r="K59" s="61">
        <v>1</v>
      </c>
      <c r="L59" s="75"/>
      <c r="M59" s="62" t="s">
        <v>21</v>
      </c>
      <c r="N59" s="62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62">
        <v>0.5</v>
      </c>
      <c r="Z59" s="62">
        <v>0.5263157894736842</v>
      </c>
      <c r="AA59" s="62">
        <v>0.30303030303030304</v>
      </c>
      <c r="AB59" s="62">
        <v>0.4286</v>
      </c>
      <c r="AC59" s="62">
        <v>0.3077</v>
      </c>
      <c r="AD59" s="62">
        <v>0.4667</v>
      </c>
      <c r="AE59" s="62">
        <v>0.1579</v>
      </c>
      <c r="AF59" s="62">
        <v>0.1</v>
      </c>
      <c r="AG59" s="62">
        <v>0.2593</v>
      </c>
      <c r="AH59" s="62">
        <v>0.3077</v>
      </c>
      <c r="AI59" s="62">
        <v>0.3684210526315789</v>
      </c>
      <c r="AJ59" s="62">
        <v>0.4666666666666667</v>
      </c>
      <c r="AK59" s="80">
        <v>0.2632</v>
      </c>
      <c r="AL59" s="62">
        <v>0.4167</v>
      </c>
      <c r="AM59" s="62">
        <v>0.6154</v>
      </c>
      <c r="AN59" s="62">
        <v>0.2857</v>
      </c>
      <c r="AO59" s="62">
        <v>0.15384615384615385</v>
      </c>
      <c r="AP59" s="81">
        <v>0.0556</v>
      </c>
      <c r="AQ59" s="81">
        <v>0.34615384615384615</v>
      </c>
      <c r="AR59" s="81">
        <v>0.3076923076923077</v>
      </c>
      <c r="AS59" s="81">
        <v>0.3333333333333333</v>
      </c>
      <c r="AT59" s="81">
        <v>0.2916666666666667</v>
      </c>
      <c r="AU59" s="81">
        <v>0.1111111111111111</v>
      </c>
      <c r="AV59" s="81">
        <v>0.2777777777777778</v>
      </c>
      <c r="AW59" s="81">
        <v>0.4348</v>
      </c>
      <c r="AX59" s="81">
        <v>0.3214</v>
      </c>
      <c r="AY59" s="81">
        <v>0.2143</v>
      </c>
      <c r="AZ59" s="81">
        <v>0.375</v>
      </c>
      <c r="BA59" s="81">
        <v>0.3888888888888889</v>
      </c>
      <c r="BB59" s="81">
        <v>0.3333</v>
      </c>
      <c r="BC59" s="60"/>
      <c r="BD59" s="60"/>
      <c r="BE59" s="60"/>
      <c r="BF59" s="60"/>
      <c r="BG59" s="62"/>
      <c r="BH59" s="62">
        <f>(Z59+Y59)/2</f>
        <v>0.513157894736842</v>
      </c>
      <c r="BI59" s="62">
        <f>AVERAGE(AA59:AB59)</f>
        <v>0.36581515151515154</v>
      </c>
      <c r="BJ59" s="62">
        <f>AVERAGE(AC59:AD59)</f>
        <v>0.3872</v>
      </c>
      <c r="BK59" s="62">
        <f>AVERAGE(AE59:AF59)</f>
        <v>0.12895</v>
      </c>
      <c r="BL59" s="62">
        <f>AVERAGE(AG59:AH59)</f>
        <v>0.2835</v>
      </c>
      <c r="BM59" s="62">
        <f>AVERAGE(AI59:AJ59)</f>
        <v>0.4175438596491228</v>
      </c>
      <c r="BN59" s="62">
        <f>AVERAGE(AK59:AL59)</f>
        <v>0.33995</v>
      </c>
      <c r="BO59" s="62">
        <f t="shared" si="17"/>
        <v>0.45055</v>
      </c>
      <c r="BP59" s="62">
        <f t="shared" si="17"/>
        <v>0.21977307692307693</v>
      </c>
      <c r="BQ59" s="62">
        <f t="shared" si="17"/>
        <v>0.10472307692307692</v>
      </c>
      <c r="BR59" s="62">
        <f t="shared" si="17"/>
        <v>0.20087692307692306</v>
      </c>
      <c r="BS59" s="62">
        <f t="shared" si="17"/>
        <v>0.3269230769230769</v>
      </c>
      <c r="BT59" s="62">
        <f t="shared" si="17"/>
        <v>0.3205128205128205</v>
      </c>
      <c r="BU59" s="62">
        <f>AVERAGE(AY59:AZ59)</f>
        <v>0.29464999999999997</v>
      </c>
      <c r="BV59" s="62">
        <f t="shared" si="16"/>
        <v>0.36109444444444444</v>
      </c>
      <c r="BW59" s="78"/>
      <c r="BX59" s="78"/>
      <c r="BY59" s="54">
        <v>33</v>
      </c>
      <c r="BZ59" s="54">
        <v>66</v>
      </c>
      <c r="CA59" s="54">
        <v>97</v>
      </c>
      <c r="CB59" s="54">
        <v>107</v>
      </c>
      <c r="CC59" s="54">
        <v>124</v>
      </c>
      <c r="CD59" s="44">
        <v>115</v>
      </c>
      <c r="CE59" s="54">
        <v>123</v>
      </c>
      <c r="CF59" s="54">
        <v>109</v>
      </c>
      <c r="CG59" s="54">
        <f>117+19</f>
        <v>136</v>
      </c>
      <c r="CH59" s="54">
        <f>125+26</f>
        <v>151</v>
      </c>
      <c r="CI59" s="54">
        <f>126+24</f>
        <v>150</v>
      </c>
      <c r="CJ59" s="54">
        <f>131+18</f>
        <v>149</v>
      </c>
      <c r="CK59" s="54">
        <f>141+28</f>
        <v>169</v>
      </c>
      <c r="CL59" s="54">
        <f>139+21</f>
        <v>160</v>
      </c>
      <c r="CM59" s="54">
        <f>129+24</f>
        <v>153</v>
      </c>
      <c r="CN59" s="54">
        <f>135+40</f>
        <v>175</v>
      </c>
      <c r="CO59" s="54">
        <f>138+38</f>
        <v>176</v>
      </c>
      <c r="CP59" s="54">
        <v>226</v>
      </c>
      <c r="CQ59" s="54">
        <v>190</v>
      </c>
      <c r="CR59" s="76"/>
      <c r="CS59" s="55">
        <v>0.64</v>
      </c>
      <c r="CT59" s="55">
        <v>0.7</v>
      </c>
      <c r="CU59" s="55">
        <v>0.81</v>
      </c>
      <c r="CV59" s="55">
        <v>0.63</v>
      </c>
      <c r="CW59" s="64">
        <v>0.5</v>
      </c>
      <c r="CX59" s="64">
        <v>0.74</v>
      </c>
      <c r="CY59" s="55">
        <v>0.69</v>
      </c>
      <c r="CZ59" s="55">
        <v>0.68</v>
      </c>
      <c r="DA59" s="55">
        <v>0.87</v>
      </c>
      <c r="DB59" s="55">
        <v>0.58</v>
      </c>
      <c r="DC59" s="55">
        <v>0.88</v>
      </c>
      <c r="DD59" s="55">
        <v>0.62</v>
      </c>
      <c r="DE59" s="55">
        <v>0.57</v>
      </c>
      <c r="DF59" s="55">
        <v>0.81</v>
      </c>
      <c r="DG59" s="55">
        <v>0.44</v>
      </c>
      <c r="DH59" s="55">
        <v>0.81</v>
      </c>
      <c r="DI59" s="55">
        <v>0.73</v>
      </c>
      <c r="DJ59" s="55">
        <v>0.75</v>
      </c>
      <c r="DK59" s="55">
        <v>0.75</v>
      </c>
      <c r="DL59" s="55">
        <v>0.61</v>
      </c>
      <c r="DM59" s="55">
        <v>0.72</v>
      </c>
      <c r="DN59" s="55">
        <v>0.78</v>
      </c>
      <c r="DO59" s="55">
        <v>0.6785714285714286</v>
      </c>
      <c r="DP59" s="55">
        <v>1</v>
      </c>
      <c r="DQ59" s="55">
        <v>0.6956521739130435</v>
      </c>
      <c r="DR59" s="55">
        <v>0.47368421052631576</v>
      </c>
      <c r="DS59" s="55">
        <v>0.58</v>
      </c>
      <c r="DT59" s="55">
        <v>0.69</v>
      </c>
      <c r="DU59" s="55">
        <v>0.72</v>
      </c>
      <c r="DV59" s="55">
        <v>0.75</v>
      </c>
      <c r="DW59" s="55">
        <v>0.8181818181818182</v>
      </c>
      <c r="DX59" s="55">
        <v>0.88</v>
      </c>
      <c r="DY59" s="122">
        <v>0.474</v>
      </c>
      <c r="DZ59" s="122">
        <v>1</v>
      </c>
      <c r="EA59" s="123">
        <v>0.667</v>
      </c>
      <c r="EB59" s="123">
        <v>1</v>
      </c>
      <c r="EC59" s="122">
        <v>0.421</v>
      </c>
      <c r="ED59" s="122">
        <v>1</v>
      </c>
      <c r="EE59" s="123">
        <v>0.542</v>
      </c>
      <c r="EF59" s="123">
        <v>1</v>
      </c>
      <c r="EG59" s="122">
        <v>0.615</v>
      </c>
      <c r="EH59" s="122">
        <v>1</v>
      </c>
      <c r="EI59" s="123">
        <v>0.429</v>
      </c>
      <c r="EJ59" s="123">
        <v>0.857</v>
      </c>
      <c r="EK59" s="122">
        <v>0.5</v>
      </c>
      <c r="EL59" s="122">
        <v>0.929</v>
      </c>
      <c r="EM59" s="124">
        <v>0.167</v>
      </c>
      <c r="EN59" s="124">
        <v>0.6</v>
      </c>
      <c r="EO59" s="122">
        <v>0.538</v>
      </c>
      <c r="EP59" s="122">
        <v>0.933</v>
      </c>
      <c r="EQ59" s="123">
        <v>0.615</v>
      </c>
      <c r="ER59" s="123">
        <v>0.889</v>
      </c>
      <c r="ES59" s="122">
        <v>0.625</v>
      </c>
      <c r="ET59" s="122">
        <v>0.938</v>
      </c>
      <c r="EU59" s="123">
        <v>0.652</v>
      </c>
      <c r="EV59" s="123">
        <v>0.938</v>
      </c>
      <c r="EW59" s="122">
        <v>0.333</v>
      </c>
      <c r="EX59" s="122">
        <v>1</v>
      </c>
      <c r="EY59" s="124">
        <v>0.611</v>
      </c>
      <c r="EZ59" s="124">
        <v>0.917</v>
      </c>
      <c r="FA59" s="122">
        <v>0.391</v>
      </c>
      <c r="FB59" s="122">
        <v>0.9</v>
      </c>
      <c r="FC59" s="124">
        <v>0.214</v>
      </c>
      <c r="FD59" s="124">
        <v>0.462</v>
      </c>
      <c r="FE59" s="122">
        <v>0</v>
      </c>
      <c r="FF59" s="122">
        <v>0</v>
      </c>
      <c r="FG59" s="124">
        <v>0</v>
      </c>
      <c r="FH59" s="124">
        <v>0</v>
      </c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58" customFormat="1" ht="12.75">
      <c r="A60" s="47" t="s">
        <v>34</v>
      </c>
      <c r="B60" s="47" t="s">
        <v>310</v>
      </c>
      <c r="C60" s="39" t="s">
        <v>35</v>
      </c>
      <c r="D60" s="39">
        <v>5021100004</v>
      </c>
      <c r="E60" s="39">
        <v>521100008</v>
      </c>
      <c r="F60" s="26" t="s">
        <v>115</v>
      </c>
      <c r="G60" s="10" t="s">
        <v>318</v>
      </c>
      <c r="H60" s="10" t="s">
        <v>66</v>
      </c>
      <c r="I60" s="10" t="s">
        <v>167</v>
      </c>
      <c r="J60" s="10" t="s">
        <v>173</v>
      </c>
      <c r="K60" s="61">
        <v>1</v>
      </c>
      <c r="L60" s="75"/>
      <c r="M60" s="62" t="s">
        <v>21</v>
      </c>
      <c r="N60" s="62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62">
        <v>0.2911</v>
      </c>
      <c r="Z60" s="62">
        <v>0.2033898305084746</v>
      </c>
      <c r="AA60" s="62">
        <v>0.18867924528301888</v>
      </c>
      <c r="AB60" s="62">
        <v>0.3529</v>
      </c>
      <c r="AC60" s="62">
        <v>0.2667</v>
      </c>
      <c r="AD60" s="62">
        <v>0.2143</v>
      </c>
      <c r="AE60" s="62">
        <v>0.2778</v>
      </c>
      <c r="AF60" s="62">
        <v>0.0909</v>
      </c>
      <c r="AG60" s="62">
        <v>0.125</v>
      </c>
      <c r="AH60" s="62">
        <v>0.2857</v>
      </c>
      <c r="AI60" s="62">
        <v>0.4166666666666667</v>
      </c>
      <c r="AJ60" s="62">
        <v>0.0625</v>
      </c>
      <c r="AK60" s="80">
        <v>0.2308</v>
      </c>
      <c r="AL60" s="62">
        <v>0.3684</v>
      </c>
      <c r="AM60" s="62">
        <v>0.24</v>
      </c>
      <c r="AN60" s="62">
        <v>0.2667</v>
      </c>
      <c r="AO60" s="62">
        <v>0.15789473684210525</v>
      </c>
      <c r="AP60" s="81">
        <v>0.2308</v>
      </c>
      <c r="AQ60" s="81">
        <v>0.18181818181818182</v>
      </c>
      <c r="AR60" s="81">
        <v>0.13636363636363635</v>
      </c>
      <c r="AS60" s="81">
        <v>0.375</v>
      </c>
      <c r="AT60" s="81">
        <v>0.41379310344827586</v>
      </c>
      <c r="AU60" s="81">
        <v>0.23809523809523808</v>
      </c>
      <c r="AV60" s="81">
        <v>0.32</v>
      </c>
      <c r="AW60" s="81">
        <v>0.36</v>
      </c>
      <c r="AX60" s="81">
        <v>0.4615</v>
      </c>
      <c r="AY60" s="81">
        <v>0.2857</v>
      </c>
      <c r="AZ60" s="81">
        <v>0.6552</v>
      </c>
      <c r="BA60" s="81">
        <v>0.5172413793103449</v>
      </c>
      <c r="BB60" s="81">
        <v>0.3778</v>
      </c>
      <c r="BC60" s="60"/>
      <c r="BD60" s="60"/>
      <c r="BE60" s="60"/>
      <c r="BF60" s="60"/>
      <c r="BG60" s="62"/>
      <c r="BH60" s="62">
        <f>(Z60+Y60)/2</f>
        <v>0.2472449152542373</v>
      </c>
      <c r="BI60" s="62">
        <f>AVERAGE(AA60:AB60)</f>
        <v>0.2707896226415094</v>
      </c>
      <c r="BJ60" s="62">
        <f>AVERAGE(AC60:AD60)</f>
        <v>0.2405</v>
      </c>
      <c r="BK60" s="62">
        <f>AVERAGE(AE60:AF60)</f>
        <v>0.18434999999999999</v>
      </c>
      <c r="BL60" s="62">
        <f>AVERAGE(AG60:AH60)</f>
        <v>0.20535</v>
      </c>
      <c r="BM60" s="62">
        <f>AVERAGE(AI60:AJ60)</f>
        <v>0.23958333333333334</v>
      </c>
      <c r="BN60" s="62">
        <f>AVERAGE(AK60:AL60)</f>
        <v>0.2996</v>
      </c>
      <c r="BO60" s="62">
        <f t="shared" si="17"/>
        <v>0.25334999999999996</v>
      </c>
      <c r="BP60" s="62">
        <f t="shared" si="17"/>
        <v>0.21229736842105262</v>
      </c>
      <c r="BQ60" s="62">
        <f t="shared" si="17"/>
        <v>0.19434736842105263</v>
      </c>
      <c r="BR60" s="62">
        <f t="shared" si="17"/>
        <v>0.20630909090909091</v>
      </c>
      <c r="BS60" s="62">
        <f t="shared" si="17"/>
        <v>0.1590909090909091</v>
      </c>
      <c r="BT60" s="62">
        <f t="shared" si="17"/>
        <v>0.2556818181818182</v>
      </c>
      <c r="BU60" s="62">
        <f>AVERAGE(AY60:AZ60)</f>
        <v>0.47045000000000003</v>
      </c>
      <c r="BV60" s="62">
        <f t="shared" si="16"/>
        <v>0.44752068965517244</v>
      </c>
      <c r="BW60" s="78"/>
      <c r="BX60" s="78"/>
      <c r="BY60" s="54">
        <v>110</v>
      </c>
      <c r="BZ60" s="54">
        <v>144</v>
      </c>
      <c r="CA60" s="54">
        <v>140</v>
      </c>
      <c r="CB60" s="54">
        <v>147</v>
      </c>
      <c r="CC60" s="54">
        <v>146</v>
      </c>
      <c r="CD60" s="44">
        <v>128</v>
      </c>
      <c r="CE60" s="54">
        <v>116</v>
      </c>
      <c r="CF60" s="54">
        <v>130</v>
      </c>
      <c r="CG60" s="54">
        <f>119+28</f>
        <v>147</v>
      </c>
      <c r="CH60" s="54">
        <f>128+22</f>
        <v>150</v>
      </c>
      <c r="CI60" s="54">
        <f>141+27</f>
        <v>168</v>
      </c>
      <c r="CJ60" s="54">
        <f>152+24</f>
        <v>176</v>
      </c>
      <c r="CK60" s="54">
        <f>175+26</f>
        <v>201</v>
      </c>
      <c r="CL60" s="54">
        <f>174+30</f>
        <v>204</v>
      </c>
      <c r="CM60" s="54">
        <f>183+46</f>
        <v>229</v>
      </c>
      <c r="CN60" s="54">
        <f>218+41</f>
        <v>259</v>
      </c>
      <c r="CO60" s="54">
        <f>216+44</f>
        <v>260</v>
      </c>
      <c r="CP60" s="54">
        <v>281</v>
      </c>
      <c r="CQ60" s="54">
        <v>235</v>
      </c>
      <c r="CR60" s="76"/>
      <c r="CS60" s="55">
        <v>0.54</v>
      </c>
      <c r="CT60" s="55">
        <v>0.49</v>
      </c>
      <c r="CU60" s="55">
        <v>0.8</v>
      </c>
      <c r="CV60" s="55">
        <v>0.83</v>
      </c>
      <c r="CW60" s="64">
        <v>0.64</v>
      </c>
      <c r="CX60" s="64">
        <v>0.94</v>
      </c>
      <c r="CY60" s="55">
        <v>0.86</v>
      </c>
      <c r="CZ60" s="55">
        <v>0.92</v>
      </c>
      <c r="DA60" s="55">
        <v>0.75</v>
      </c>
      <c r="DB60" s="55">
        <v>0.92</v>
      </c>
      <c r="DC60" s="55">
        <v>0.68</v>
      </c>
      <c r="DD60" s="55">
        <v>0.8</v>
      </c>
      <c r="DE60" s="55">
        <v>1</v>
      </c>
      <c r="DF60" s="55">
        <v>0.89</v>
      </c>
      <c r="DG60" s="55">
        <v>0.81</v>
      </c>
      <c r="DH60" s="55">
        <v>0.64</v>
      </c>
      <c r="DI60" s="55">
        <v>0.91</v>
      </c>
      <c r="DJ60" s="55">
        <v>0.79</v>
      </c>
      <c r="DK60" s="55">
        <v>0.8620689655172413</v>
      </c>
      <c r="DL60" s="55">
        <v>0.9</v>
      </c>
      <c r="DM60" s="55">
        <v>0.92</v>
      </c>
      <c r="DN60" s="55">
        <v>0.88</v>
      </c>
      <c r="DO60" s="55">
        <v>0.8461538461538461</v>
      </c>
      <c r="DP60" s="55">
        <v>0.9285714285714286</v>
      </c>
      <c r="DQ60" s="55">
        <v>0.8620689655172413</v>
      </c>
      <c r="DR60" s="55">
        <v>0.8214285714285714</v>
      </c>
      <c r="DS60" s="55">
        <v>0.87</v>
      </c>
      <c r="DT60" s="55">
        <v>0.65</v>
      </c>
      <c r="DU60" s="55">
        <v>0.82</v>
      </c>
      <c r="DV60" s="55">
        <v>0.71</v>
      </c>
      <c r="DW60" s="55">
        <v>0.8181818181818182</v>
      </c>
      <c r="DX60" s="55">
        <v>0.67</v>
      </c>
      <c r="DY60" s="122">
        <v>0.667</v>
      </c>
      <c r="DZ60" s="122">
        <v>0.8</v>
      </c>
      <c r="EA60" s="123">
        <v>0.25</v>
      </c>
      <c r="EB60" s="123">
        <v>1</v>
      </c>
      <c r="EC60" s="122">
        <v>0.615</v>
      </c>
      <c r="ED60" s="122">
        <v>1</v>
      </c>
      <c r="EE60" s="123">
        <v>0.526</v>
      </c>
      <c r="EF60" s="123">
        <v>0.909</v>
      </c>
      <c r="EG60" s="122">
        <v>0.4</v>
      </c>
      <c r="EH60" s="122">
        <v>0.909</v>
      </c>
      <c r="EI60" s="123">
        <v>0.667</v>
      </c>
      <c r="EJ60" s="123">
        <v>1</v>
      </c>
      <c r="EK60" s="122">
        <v>0.368</v>
      </c>
      <c r="EL60" s="122">
        <v>0.636</v>
      </c>
      <c r="EM60" s="124">
        <v>0.423</v>
      </c>
      <c r="EN60" s="124">
        <v>0.917</v>
      </c>
      <c r="EO60" s="122">
        <v>0.158</v>
      </c>
      <c r="EP60" s="122">
        <v>0.375</v>
      </c>
      <c r="EQ60" s="123">
        <v>0.5</v>
      </c>
      <c r="ER60" s="123">
        <v>1</v>
      </c>
      <c r="ES60" s="122">
        <v>0.542</v>
      </c>
      <c r="ET60" s="122">
        <v>0.765</v>
      </c>
      <c r="EU60" s="123">
        <v>0.667</v>
      </c>
      <c r="EV60" s="123">
        <v>1</v>
      </c>
      <c r="EW60" s="122">
        <v>0.286</v>
      </c>
      <c r="EX60" s="122">
        <v>0.545</v>
      </c>
      <c r="EY60" s="123">
        <v>0.56</v>
      </c>
      <c r="EZ60" s="123">
        <v>0.778</v>
      </c>
      <c r="FA60" s="122">
        <v>0.4</v>
      </c>
      <c r="FB60" s="122">
        <v>0.625</v>
      </c>
      <c r="FC60" s="123">
        <v>0.115</v>
      </c>
      <c r="FD60" s="123">
        <v>0.176</v>
      </c>
      <c r="FE60" s="122">
        <v>0.107</v>
      </c>
      <c r="FF60" s="122">
        <v>0.158</v>
      </c>
      <c r="FG60" s="123">
        <v>0</v>
      </c>
      <c r="FH60" s="123">
        <v>0</v>
      </c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58" customFormat="1" ht="12.75">
      <c r="A61" s="47" t="s">
        <v>34</v>
      </c>
      <c r="B61" s="47" t="s">
        <v>310</v>
      </c>
      <c r="C61" s="39" t="s">
        <v>35</v>
      </c>
      <c r="D61" s="39">
        <v>5021300063</v>
      </c>
      <c r="E61" s="39">
        <v>521200142</v>
      </c>
      <c r="F61" s="26" t="s">
        <v>116</v>
      </c>
      <c r="G61" s="10" t="s">
        <v>318</v>
      </c>
      <c r="H61" s="10" t="s">
        <v>66</v>
      </c>
      <c r="I61" s="10" t="s">
        <v>167</v>
      </c>
      <c r="J61" s="10" t="s">
        <v>173</v>
      </c>
      <c r="K61" s="61">
        <v>1</v>
      </c>
      <c r="L61" s="75"/>
      <c r="M61" s="62" t="s">
        <v>21</v>
      </c>
      <c r="N61" s="62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62">
        <v>0.2916666666666667</v>
      </c>
      <c r="AB61" s="62">
        <v>0.0667</v>
      </c>
      <c r="AC61" s="62">
        <v>0.0976</v>
      </c>
      <c r="AD61" s="62">
        <v>0.0667</v>
      </c>
      <c r="AE61" s="62">
        <v>0.3333</v>
      </c>
      <c r="AF61" s="62">
        <v>0.2727</v>
      </c>
      <c r="AG61" s="62">
        <v>0.24</v>
      </c>
      <c r="AH61" s="62">
        <v>0.08</v>
      </c>
      <c r="AI61" s="62">
        <v>0.17647058823529413</v>
      </c>
      <c r="AJ61" s="62">
        <v>0.09523809523809523</v>
      </c>
      <c r="AK61" s="80">
        <v>0.1667</v>
      </c>
      <c r="AL61" s="62">
        <v>0.1</v>
      </c>
      <c r="AM61" s="62">
        <v>0.1053</v>
      </c>
      <c r="AN61" s="86"/>
      <c r="AO61" s="62">
        <v>0.25</v>
      </c>
      <c r="AP61" s="81">
        <v>0.0625</v>
      </c>
      <c r="AQ61" s="81">
        <v>0.125</v>
      </c>
      <c r="AR61" s="81">
        <v>0.28</v>
      </c>
      <c r="AS61" s="81">
        <v>0.17857142857142858</v>
      </c>
      <c r="AT61" s="81">
        <v>0.17647058823529413</v>
      </c>
      <c r="AU61" s="81">
        <v>0.21739130434782608</v>
      </c>
      <c r="AV61" s="81">
        <v>0.12</v>
      </c>
      <c r="AW61" s="81">
        <v>0.2222</v>
      </c>
      <c r="AX61" s="81">
        <v>0.4545</v>
      </c>
      <c r="AY61" s="81">
        <v>0.129</v>
      </c>
      <c r="AZ61" s="81">
        <v>0.1</v>
      </c>
      <c r="BA61" s="81">
        <v>0.36</v>
      </c>
      <c r="BB61" s="81">
        <v>0.24</v>
      </c>
      <c r="BC61" s="60"/>
      <c r="BD61" s="60"/>
      <c r="BE61" s="60"/>
      <c r="BF61" s="60"/>
      <c r="BG61" s="62"/>
      <c r="BH61" s="62"/>
      <c r="BI61" s="62">
        <f>AVERAGE(AA61:AB61)</f>
        <v>0.17918333333333333</v>
      </c>
      <c r="BJ61" s="62">
        <f>AVERAGE(AC61:AD61)</f>
        <v>0.08215</v>
      </c>
      <c r="BK61" s="62">
        <f>AVERAGE(AE61:AF61)</f>
        <v>0.303</v>
      </c>
      <c r="BL61" s="62">
        <f>AVERAGE(AG61:AH61)</f>
        <v>0.16</v>
      </c>
      <c r="BM61" s="62">
        <f>AVERAGE(AI61:AJ61)</f>
        <v>0.1358543417366947</v>
      </c>
      <c r="BN61" s="62">
        <f>AVERAGE(AK61:AL61)</f>
        <v>0.13335</v>
      </c>
      <c r="BO61" s="62">
        <f t="shared" si="17"/>
        <v>0.1053</v>
      </c>
      <c r="BP61" s="62">
        <f t="shared" si="17"/>
        <v>0.25</v>
      </c>
      <c r="BQ61" s="62">
        <f t="shared" si="17"/>
        <v>0.15625</v>
      </c>
      <c r="BR61" s="62">
        <f t="shared" si="17"/>
        <v>0.09375</v>
      </c>
      <c r="BS61" s="62">
        <f t="shared" si="17"/>
        <v>0.2025</v>
      </c>
      <c r="BT61" s="62">
        <f t="shared" si="17"/>
        <v>0.22928571428571431</v>
      </c>
      <c r="BU61" s="62">
        <f>AVERAGE(AY61:AZ61)</f>
        <v>0.1145</v>
      </c>
      <c r="BV61" s="62">
        <f t="shared" si="16"/>
        <v>0.3</v>
      </c>
      <c r="BW61" s="78"/>
      <c r="BX61" s="78"/>
      <c r="BY61" s="54">
        <v>63</v>
      </c>
      <c r="BZ61" s="54">
        <v>114</v>
      </c>
      <c r="CA61" s="54">
        <v>135</v>
      </c>
      <c r="CB61" s="54">
        <v>155</v>
      </c>
      <c r="CC61" s="54">
        <v>176</v>
      </c>
      <c r="CD61" s="44">
        <v>199</v>
      </c>
      <c r="CE61" s="54">
        <v>184</v>
      </c>
      <c r="CF61" s="54">
        <v>179</v>
      </c>
      <c r="CG61" s="54">
        <f>156+25</f>
        <v>181</v>
      </c>
      <c r="CH61" s="54">
        <f>182+17</f>
        <v>199</v>
      </c>
      <c r="CI61" s="54">
        <f>188+25</f>
        <v>213</v>
      </c>
      <c r="CJ61" s="54">
        <f>190+22</f>
        <v>212</v>
      </c>
      <c r="CK61" s="54">
        <f>200+22</f>
        <v>222</v>
      </c>
      <c r="CL61" s="54">
        <f>201+25</f>
        <v>226</v>
      </c>
      <c r="CM61" s="54">
        <f>210+26</f>
        <v>236</v>
      </c>
      <c r="CN61" s="54">
        <f>219+28</f>
        <v>247</v>
      </c>
      <c r="CO61" s="54">
        <f>232+27</f>
        <v>259</v>
      </c>
      <c r="CP61" s="54">
        <v>286</v>
      </c>
      <c r="CQ61" s="54">
        <v>246</v>
      </c>
      <c r="CR61" s="76"/>
      <c r="CS61" s="55">
        <v>0.85</v>
      </c>
      <c r="CT61" s="55">
        <v>0.78</v>
      </c>
      <c r="CU61" s="55">
        <v>0.67</v>
      </c>
      <c r="CV61" s="55">
        <v>0.76</v>
      </c>
      <c r="CW61" s="64">
        <v>0.76</v>
      </c>
      <c r="CX61" s="64">
        <v>0.82</v>
      </c>
      <c r="CY61" s="55">
        <v>0.9</v>
      </c>
      <c r="CZ61" s="55">
        <v>0.93</v>
      </c>
      <c r="DA61" s="55">
        <v>0.9</v>
      </c>
      <c r="DB61" s="55">
        <v>1</v>
      </c>
      <c r="DC61" s="66"/>
      <c r="DD61" s="55">
        <v>0.92</v>
      </c>
      <c r="DE61" s="55">
        <v>0.75</v>
      </c>
      <c r="DF61" s="55">
        <v>0.92</v>
      </c>
      <c r="DG61" s="55">
        <v>0.88</v>
      </c>
      <c r="DH61" s="55">
        <v>0.86</v>
      </c>
      <c r="DI61" s="55">
        <v>0.88</v>
      </c>
      <c r="DJ61" s="55">
        <v>0.91</v>
      </c>
      <c r="DK61" s="55">
        <v>0.8</v>
      </c>
      <c r="DL61" s="55">
        <v>0.83</v>
      </c>
      <c r="DM61" s="55">
        <v>0.91</v>
      </c>
      <c r="DN61" s="55">
        <v>0.74</v>
      </c>
      <c r="DO61" s="55">
        <v>0.8</v>
      </c>
      <c r="DP61" s="55">
        <v>0.96</v>
      </c>
      <c r="DQ61" s="55">
        <v>0.8</v>
      </c>
      <c r="DR61" s="55">
        <v>0.9130434782608695</v>
      </c>
      <c r="DS61" s="55">
        <v>0.81</v>
      </c>
      <c r="DT61" s="55">
        <v>0.85</v>
      </c>
      <c r="DU61" s="55">
        <v>0.79</v>
      </c>
      <c r="DV61" s="55">
        <v>0.84</v>
      </c>
      <c r="DW61" s="55">
        <v>0.9629629629629629</v>
      </c>
      <c r="DX61" s="55">
        <v>0.88</v>
      </c>
      <c r="DY61" s="122"/>
      <c r="DZ61" s="122"/>
      <c r="EA61" s="123">
        <v>0.176</v>
      </c>
      <c r="EB61" s="123">
        <v>1</v>
      </c>
      <c r="EC61" s="122">
        <v>0.143</v>
      </c>
      <c r="ED61" s="122">
        <v>1</v>
      </c>
      <c r="EE61" s="123">
        <v>0.267</v>
      </c>
      <c r="EF61" s="123">
        <v>1</v>
      </c>
      <c r="EG61" s="122">
        <v>0.2</v>
      </c>
      <c r="EH61" s="122">
        <v>1</v>
      </c>
      <c r="EI61" s="123">
        <v>0.368</v>
      </c>
      <c r="EJ61" s="123">
        <v>1</v>
      </c>
      <c r="EK61" s="122">
        <v>0.75</v>
      </c>
      <c r="EL61" s="122">
        <v>0.9</v>
      </c>
      <c r="EM61" s="124">
        <v>0.375</v>
      </c>
      <c r="EN61" s="124">
        <v>1</v>
      </c>
      <c r="EO61" s="122">
        <v>0.5</v>
      </c>
      <c r="EP61" s="122">
        <v>0.857</v>
      </c>
      <c r="EQ61" s="123">
        <v>0.48</v>
      </c>
      <c r="ER61" s="123">
        <v>0.923</v>
      </c>
      <c r="ES61" s="122">
        <v>0.321</v>
      </c>
      <c r="ET61" s="122">
        <v>0.818</v>
      </c>
      <c r="EU61" s="123">
        <v>0.588</v>
      </c>
      <c r="EV61" s="123">
        <v>0.909</v>
      </c>
      <c r="EW61" s="122">
        <v>0.609</v>
      </c>
      <c r="EX61" s="122">
        <v>0.667</v>
      </c>
      <c r="EY61" s="123">
        <v>0.44</v>
      </c>
      <c r="EZ61" s="123">
        <v>0.733</v>
      </c>
      <c r="FA61" s="122">
        <v>0.444</v>
      </c>
      <c r="FB61" s="122">
        <v>0.571</v>
      </c>
      <c r="FC61" s="123">
        <v>0.364</v>
      </c>
      <c r="FD61" s="123">
        <v>0.727</v>
      </c>
      <c r="FE61" s="122">
        <v>0.161</v>
      </c>
      <c r="FF61" s="122">
        <v>0.313</v>
      </c>
      <c r="FG61" s="123">
        <v>0</v>
      </c>
      <c r="FH61" s="123">
        <v>0</v>
      </c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58" customFormat="1" ht="12.75">
      <c r="A62" s="47" t="s">
        <v>34</v>
      </c>
      <c r="B62" s="47" t="s">
        <v>310</v>
      </c>
      <c r="C62" s="39" t="s">
        <v>35</v>
      </c>
      <c r="D62" s="39">
        <v>5021200004</v>
      </c>
      <c r="E62" s="39">
        <v>521200022</v>
      </c>
      <c r="F62" s="26" t="s">
        <v>117</v>
      </c>
      <c r="G62" s="10" t="s">
        <v>318</v>
      </c>
      <c r="H62" s="10" t="s">
        <v>66</v>
      </c>
      <c r="I62" s="10" t="s">
        <v>167</v>
      </c>
      <c r="J62" s="10" t="s">
        <v>173</v>
      </c>
      <c r="K62" s="61">
        <v>1</v>
      </c>
      <c r="L62" s="75"/>
      <c r="M62" s="62" t="s">
        <v>21</v>
      </c>
      <c r="N62" s="62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62">
        <v>0.48148148148148145</v>
      </c>
      <c r="AB62" s="62">
        <v>0.4</v>
      </c>
      <c r="AC62" s="62">
        <v>0.5</v>
      </c>
      <c r="AD62" s="62">
        <v>0.07692307692307693</v>
      </c>
      <c r="AE62" s="62">
        <v>0.7</v>
      </c>
      <c r="AF62" s="62">
        <v>0.2857142857142857</v>
      </c>
      <c r="AG62" s="62">
        <v>0.4</v>
      </c>
      <c r="AH62" s="62">
        <v>0.3076923076923077</v>
      </c>
      <c r="AI62" s="84"/>
      <c r="AJ62" s="62">
        <v>0.4375</v>
      </c>
      <c r="AK62" s="80">
        <v>0.11</v>
      </c>
      <c r="AL62" s="62">
        <v>0.34782608695652173</v>
      </c>
      <c r="AM62" s="62">
        <v>0.17</v>
      </c>
      <c r="AN62" s="62">
        <v>0.09</v>
      </c>
      <c r="AO62" s="62">
        <v>0.3</v>
      </c>
      <c r="AP62" s="81">
        <v>0.23809523809523808</v>
      </c>
      <c r="AQ62" s="81">
        <v>0.07142857142857142</v>
      </c>
      <c r="AR62" s="81">
        <v>0.14285714285714285</v>
      </c>
      <c r="AS62" s="81">
        <v>0.06666666666666667</v>
      </c>
      <c r="AT62" s="81">
        <v>0.26666666666666666</v>
      </c>
      <c r="AU62" s="81">
        <v>0</v>
      </c>
      <c r="AV62" s="81">
        <v>0.13333333333333333</v>
      </c>
      <c r="AW62" s="81">
        <v>0</v>
      </c>
      <c r="AX62" s="81">
        <v>0.1</v>
      </c>
      <c r="AY62" s="81">
        <v>0.1667</v>
      </c>
      <c r="AZ62" s="81">
        <v>0.25</v>
      </c>
      <c r="BA62" s="81">
        <v>0.45454545454545453</v>
      </c>
      <c r="BB62" s="91"/>
      <c r="BC62" s="60"/>
      <c r="BD62" s="60"/>
      <c r="BE62" s="60"/>
      <c r="BF62" s="60"/>
      <c r="BG62" s="62"/>
      <c r="BH62" s="62"/>
      <c r="BI62" s="62">
        <f>AVERAGE(AA62:AB62)</f>
        <v>0.44074074074074077</v>
      </c>
      <c r="BJ62" s="62">
        <f>AVERAGE(AC62:AD62)</f>
        <v>0.28846153846153844</v>
      </c>
      <c r="BK62" s="62">
        <f>AVERAGE(AE62:AF62)</f>
        <v>0.4928571428571428</v>
      </c>
      <c r="BL62" s="62">
        <f>AVERAGE(AG62:AH62)</f>
        <v>0.35384615384615387</v>
      </c>
      <c r="BM62" s="62">
        <f>AVERAGE(AI62:AJ62)</f>
        <v>0.4375</v>
      </c>
      <c r="BN62" s="62">
        <f>AVERAGE(AK62:AL62)</f>
        <v>0.22891304347826086</v>
      </c>
      <c r="BO62" s="62">
        <f t="shared" si="17"/>
        <v>0.13</v>
      </c>
      <c r="BP62" s="62">
        <f t="shared" si="17"/>
        <v>0.195</v>
      </c>
      <c r="BQ62" s="62">
        <f t="shared" si="17"/>
        <v>0.26904761904761904</v>
      </c>
      <c r="BR62" s="62">
        <f t="shared" si="17"/>
        <v>0.15476190476190477</v>
      </c>
      <c r="BS62" s="62">
        <f t="shared" si="17"/>
        <v>0.10714285714285714</v>
      </c>
      <c r="BT62" s="62">
        <f t="shared" si="17"/>
        <v>0.10476190476190475</v>
      </c>
      <c r="BU62" s="62">
        <f>AVERAGE(AY62:AZ62)</f>
        <v>0.20834999999999998</v>
      </c>
      <c r="BV62" s="62">
        <f t="shared" si="16"/>
        <v>0.45454545454545453</v>
      </c>
      <c r="BW62" s="78"/>
      <c r="BX62" s="78"/>
      <c r="BY62" s="78"/>
      <c r="BZ62" s="54">
        <v>39</v>
      </c>
      <c r="CA62" s="54">
        <v>48</v>
      </c>
      <c r="CB62" s="54">
        <v>57</v>
      </c>
      <c r="CC62" s="54">
        <v>69</v>
      </c>
      <c r="CD62" s="44">
        <v>69</v>
      </c>
      <c r="CE62" s="54">
        <v>80</v>
      </c>
      <c r="CF62" s="54">
        <v>74</v>
      </c>
      <c r="CG62" s="54">
        <f>66+22</f>
        <v>88</v>
      </c>
      <c r="CH62" s="54">
        <f>86+14</f>
        <v>100</v>
      </c>
      <c r="CI62" s="54">
        <f>91+14</f>
        <v>105</v>
      </c>
      <c r="CJ62" s="54">
        <f>76+15</f>
        <v>91</v>
      </c>
      <c r="CK62" s="54">
        <f>76+11</f>
        <v>87</v>
      </c>
      <c r="CL62" s="54">
        <f>69+8</f>
        <v>77</v>
      </c>
      <c r="CM62" s="54">
        <f>63+20</f>
        <v>83</v>
      </c>
      <c r="CN62" s="54">
        <f>44+0</f>
        <v>44</v>
      </c>
      <c r="CO62" s="54">
        <v>25</v>
      </c>
      <c r="CP62" s="54">
        <v>14</v>
      </c>
      <c r="CQ62" s="54">
        <v>2</v>
      </c>
      <c r="CR62" s="76"/>
      <c r="CS62" s="76"/>
      <c r="CT62" s="55">
        <v>0.74</v>
      </c>
      <c r="CU62" s="55">
        <v>0.83</v>
      </c>
      <c r="CV62" s="55">
        <v>1</v>
      </c>
      <c r="CW62" s="64">
        <v>0.71</v>
      </c>
      <c r="CX62" s="64">
        <v>1</v>
      </c>
      <c r="CY62" s="55">
        <v>0.85</v>
      </c>
      <c r="CZ62" s="66"/>
      <c r="DA62" s="55">
        <v>0.75</v>
      </c>
      <c r="DB62" s="55">
        <v>0.78</v>
      </c>
      <c r="DC62" s="55">
        <v>0.78</v>
      </c>
      <c r="DD62" s="55">
        <v>0.83</v>
      </c>
      <c r="DE62" s="55">
        <v>1</v>
      </c>
      <c r="DF62" s="55">
        <v>0.9</v>
      </c>
      <c r="DG62" s="55">
        <v>0.81</v>
      </c>
      <c r="DH62" s="55">
        <v>0.93</v>
      </c>
      <c r="DI62" s="55">
        <v>0.5</v>
      </c>
      <c r="DJ62" s="55">
        <v>0.73</v>
      </c>
      <c r="DK62" s="55">
        <v>0.6</v>
      </c>
      <c r="DL62" s="55">
        <v>0.3</v>
      </c>
      <c r="DM62" s="55">
        <v>0.67</v>
      </c>
      <c r="DN62" s="55">
        <v>1</v>
      </c>
      <c r="DO62" s="55">
        <v>0.6</v>
      </c>
      <c r="DP62" s="55">
        <v>0.8333333333333334</v>
      </c>
      <c r="DQ62" s="55">
        <v>0.75</v>
      </c>
      <c r="DR62" s="55">
        <v>0.8181818181818182</v>
      </c>
      <c r="DS62" s="130"/>
      <c r="DT62" s="130"/>
      <c r="DU62" s="130"/>
      <c r="DV62" s="130"/>
      <c r="DW62" s="130"/>
      <c r="DX62" s="130"/>
      <c r="DY62" s="122">
        <v>0.308</v>
      </c>
      <c r="DZ62" s="122">
        <v>0.8</v>
      </c>
      <c r="EA62" s="123">
        <v>0.5</v>
      </c>
      <c r="EB62" s="123">
        <v>0.8</v>
      </c>
      <c r="EC62" s="122">
        <v>0.444</v>
      </c>
      <c r="ED62" s="122">
        <v>1</v>
      </c>
      <c r="EE62" s="123">
        <v>0.478</v>
      </c>
      <c r="EF62" s="123">
        <v>1</v>
      </c>
      <c r="EG62" s="122">
        <v>0.167</v>
      </c>
      <c r="EH62" s="122">
        <v>1</v>
      </c>
      <c r="EI62" s="123">
        <v>0.636</v>
      </c>
      <c r="EJ62" s="123">
        <v>0.778</v>
      </c>
      <c r="EK62" s="122">
        <v>0.5</v>
      </c>
      <c r="EL62" s="122">
        <v>1</v>
      </c>
      <c r="EM62" s="123">
        <v>0.524</v>
      </c>
      <c r="EN62" s="123">
        <v>1</v>
      </c>
      <c r="EO62" s="122">
        <v>0.571</v>
      </c>
      <c r="EP62" s="122">
        <v>1</v>
      </c>
      <c r="EQ62" s="123">
        <v>0.357</v>
      </c>
      <c r="ER62" s="123">
        <v>1</v>
      </c>
      <c r="ES62" s="122">
        <v>0.267</v>
      </c>
      <c r="ET62" s="122">
        <v>0.8</v>
      </c>
      <c r="EU62" s="123">
        <v>0.533</v>
      </c>
      <c r="EV62" s="123">
        <v>0.889</v>
      </c>
      <c r="EW62" s="122">
        <v>0.2</v>
      </c>
      <c r="EX62" s="122">
        <v>1</v>
      </c>
      <c r="EY62" s="124">
        <v>0.4</v>
      </c>
      <c r="EZ62" s="124">
        <v>1</v>
      </c>
      <c r="FA62" s="122" t="s">
        <v>438</v>
      </c>
      <c r="FB62" s="122">
        <v>0.25</v>
      </c>
      <c r="FC62" s="124">
        <v>0</v>
      </c>
      <c r="FD62" s="124">
        <v>0</v>
      </c>
      <c r="FE62" s="122">
        <v>0</v>
      </c>
      <c r="FF62" s="122">
        <v>0</v>
      </c>
      <c r="FG62" s="124">
        <v>0</v>
      </c>
      <c r="FH62" s="124">
        <v>0</v>
      </c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58" customFormat="1" ht="12.75">
      <c r="A63" s="47" t="s">
        <v>34</v>
      </c>
      <c r="B63" s="47" t="s">
        <v>310</v>
      </c>
      <c r="C63" s="39" t="s">
        <v>35</v>
      </c>
      <c r="D63" s="39">
        <v>5021300099</v>
      </c>
      <c r="E63" s="39">
        <v>521200231</v>
      </c>
      <c r="F63" s="26" t="s">
        <v>268</v>
      </c>
      <c r="G63" s="10" t="s">
        <v>318</v>
      </c>
      <c r="H63" s="10" t="s">
        <v>66</v>
      </c>
      <c r="I63" s="10" t="s">
        <v>167</v>
      </c>
      <c r="J63" s="10" t="s">
        <v>173</v>
      </c>
      <c r="K63" s="61"/>
      <c r="L63" s="75"/>
      <c r="M63" s="62"/>
      <c r="N63" s="62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 t="s">
        <v>211</v>
      </c>
      <c r="AV63" s="76" t="s">
        <v>211</v>
      </c>
      <c r="AW63" s="76"/>
      <c r="AX63" s="76"/>
      <c r="AY63" s="76"/>
      <c r="AZ63" s="76"/>
      <c r="BA63" s="76"/>
      <c r="BB63" s="81">
        <v>0</v>
      </c>
      <c r="BC63" s="60"/>
      <c r="BD63" s="60"/>
      <c r="BE63" s="60"/>
      <c r="BF63" s="60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>
        <f t="shared" si="16"/>
        <v>0</v>
      </c>
      <c r="BW63" s="78"/>
      <c r="BX63" s="78"/>
      <c r="BY63" s="78"/>
      <c r="BZ63" s="54"/>
      <c r="CA63" s="54"/>
      <c r="CB63" s="54"/>
      <c r="CC63" s="54"/>
      <c r="CD63" s="44"/>
      <c r="CE63" s="54"/>
      <c r="CF63" s="54"/>
      <c r="CG63" s="54"/>
      <c r="CH63" s="54"/>
      <c r="CI63" s="54"/>
      <c r="CJ63" s="54"/>
      <c r="CK63" s="54"/>
      <c r="CL63" s="54"/>
      <c r="CM63" s="54"/>
      <c r="CN63" s="54">
        <f>32+26</f>
        <v>58</v>
      </c>
      <c r="CO63" s="54">
        <f>61+24</f>
        <v>85</v>
      </c>
      <c r="CP63" s="54">
        <v>119</v>
      </c>
      <c r="CQ63" s="54">
        <v>135</v>
      </c>
      <c r="CR63" s="76"/>
      <c r="CS63" s="76"/>
      <c r="CT63" s="55"/>
      <c r="CU63" s="55"/>
      <c r="CV63" s="55"/>
      <c r="CW63" s="64"/>
      <c r="CX63" s="64"/>
      <c r="CY63" s="55"/>
      <c r="CZ63" s="66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66"/>
      <c r="DN63" s="66"/>
      <c r="DO63" s="66"/>
      <c r="DP63" s="66"/>
      <c r="DQ63" s="66"/>
      <c r="DR63" s="66"/>
      <c r="DS63" s="55">
        <v>0.79</v>
      </c>
      <c r="DT63" s="55">
        <v>0.75</v>
      </c>
      <c r="DU63" s="55">
        <v>0.81</v>
      </c>
      <c r="DV63" s="55">
        <v>0.79</v>
      </c>
      <c r="DW63" s="55">
        <v>0.8695652173913043</v>
      </c>
      <c r="DX63" s="55">
        <v>0.94</v>
      </c>
      <c r="DY63" s="122"/>
      <c r="DZ63" s="122"/>
      <c r="EA63" s="123"/>
      <c r="EB63" s="123"/>
      <c r="EC63" s="122"/>
      <c r="ED63" s="122"/>
      <c r="EE63" s="123"/>
      <c r="EF63" s="123"/>
      <c r="EG63" s="122"/>
      <c r="EH63" s="122"/>
      <c r="EI63" s="123"/>
      <c r="EJ63" s="123"/>
      <c r="EK63" s="122"/>
      <c r="EL63" s="122"/>
      <c r="EM63" s="123"/>
      <c r="EN63" s="123"/>
      <c r="EO63" s="122"/>
      <c r="EP63" s="122"/>
      <c r="EQ63" s="123"/>
      <c r="ER63" s="123"/>
      <c r="ES63" s="122" t="s">
        <v>211</v>
      </c>
      <c r="ET63" s="122" t="s">
        <v>211</v>
      </c>
      <c r="EU63" s="124" t="s">
        <v>211</v>
      </c>
      <c r="EV63" s="123" t="s">
        <v>211</v>
      </c>
      <c r="EW63" s="122" t="s">
        <v>211</v>
      </c>
      <c r="EX63" s="122" t="s">
        <v>211</v>
      </c>
      <c r="EY63" s="124" t="s">
        <v>211</v>
      </c>
      <c r="EZ63" s="123" t="s">
        <v>211</v>
      </c>
      <c r="FA63" s="122" t="s">
        <v>211</v>
      </c>
      <c r="FB63" s="122" t="s">
        <v>211</v>
      </c>
      <c r="FC63" s="124" t="s">
        <v>211</v>
      </c>
      <c r="FD63" s="123" t="s">
        <v>211</v>
      </c>
      <c r="FE63" s="122" t="s">
        <v>211</v>
      </c>
      <c r="FF63" s="122" t="s">
        <v>211</v>
      </c>
      <c r="FG63" s="124" t="s">
        <v>211</v>
      </c>
      <c r="FH63" s="123" t="s">
        <v>211</v>
      </c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58" customFormat="1" ht="12.75">
      <c r="A64" s="47" t="s">
        <v>34</v>
      </c>
      <c r="B64" s="47" t="s">
        <v>310</v>
      </c>
      <c r="C64" s="39" t="s">
        <v>35</v>
      </c>
      <c r="D64" s="39"/>
      <c r="E64" s="39"/>
      <c r="F64" s="26" t="s">
        <v>355</v>
      </c>
      <c r="G64" s="10" t="s">
        <v>321</v>
      </c>
      <c r="H64" s="10" t="s">
        <v>66</v>
      </c>
      <c r="I64" s="10" t="s">
        <v>167</v>
      </c>
      <c r="J64" s="10" t="s">
        <v>173</v>
      </c>
      <c r="K64" s="61"/>
      <c r="L64" s="75"/>
      <c r="M64" s="62"/>
      <c r="N64" s="62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60"/>
      <c r="BD64" s="60"/>
      <c r="BE64" s="60"/>
      <c r="BF64" s="60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78"/>
      <c r="BX64" s="78"/>
      <c r="BY64" s="78"/>
      <c r="BZ64" s="54"/>
      <c r="CA64" s="54"/>
      <c r="CB64" s="54"/>
      <c r="CC64" s="54"/>
      <c r="CD64" s="4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>
        <v>17</v>
      </c>
      <c r="CP64" s="54">
        <v>23</v>
      </c>
      <c r="CQ64" s="54">
        <v>10</v>
      </c>
      <c r="CR64" s="76"/>
      <c r="CS64" s="76"/>
      <c r="CT64" s="55"/>
      <c r="CU64" s="55"/>
      <c r="CV64" s="55"/>
      <c r="CW64" s="64"/>
      <c r="CX64" s="64"/>
      <c r="CY64" s="55"/>
      <c r="CZ64" s="66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66"/>
      <c r="DN64" s="66"/>
      <c r="DO64" s="66"/>
      <c r="DP64" s="66"/>
      <c r="DQ64" s="66"/>
      <c r="DR64" s="66"/>
      <c r="DS64" s="55"/>
      <c r="DT64" s="55"/>
      <c r="DU64" s="55"/>
      <c r="DV64" s="55"/>
      <c r="DW64" s="55"/>
      <c r="DX64" s="55"/>
      <c r="DY64" s="122"/>
      <c r="DZ64" s="122"/>
      <c r="EA64" s="123"/>
      <c r="EB64" s="123"/>
      <c r="EC64" s="122"/>
      <c r="ED64" s="122"/>
      <c r="EE64" s="123"/>
      <c r="EF64" s="123"/>
      <c r="EG64" s="122"/>
      <c r="EH64" s="122"/>
      <c r="EI64" s="123"/>
      <c r="EJ64" s="123"/>
      <c r="EK64" s="122"/>
      <c r="EL64" s="122"/>
      <c r="EM64" s="123"/>
      <c r="EN64" s="123"/>
      <c r="EO64" s="122"/>
      <c r="EP64" s="122"/>
      <c r="EQ64" s="123"/>
      <c r="ER64" s="123"/>
      <c r="ES64" s="122"/>
      <c r="ET64" s="122"/>
      <c r="EU64" s="124"/>
      <c r="EV64" s="123"/>
      <c r="EW64" s="122"/>
      <c r="EX64" s="122"/>
      <c r="EY64" s="124"/>
      <c r="EZ64" s="123"/>
      <c r="FA64" s="122"/>
      <c r="FB64" s="122"/>
      <c r="FC64" s="124"/>
      <c r="FD64" s="123"/>
      <c r="FE64" s="122"/>
      <c r="FF64" s="122"/>
      <c r="FG64" s="124"/>
      <c r="FH64" s="123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58" customFormat="1" ht="12.75">
      <c r="A65" s="47" t="s">
        <v>27</v>
      </c>
      <c r="B65" s="47" t="s">
        <v>311</v>
      </c>
      <c r="C65" s="39" t="s">
        <v>6</v>
      </c>
      <c r="D65" s="39">
        <v>5072100002</v>
      </c>
      <c r="E65" s="39">
        <v>552100001</v>
      </c>
      <c r="F65" s="10" t="s">
        <v>81</v>
      </c>
      <c r="G65" s="10" t="s">
        <v>318</v>
      </c>
      <c r="H65" s="10" t="s">
        <v>67</v>
      </c>
      <c r="I65" s="10" t="s">
        <v>163</v>
      </c>
      <c r="J65" s="10" t="s">
        <v>169</v>
      </c>
      <c r="K65" s="61">
        <v>1</v>
      </c>
      <c r="L65" s="75" t="s">
        <v>21</v>
      </c>
      <c r="M65" s="62" t="s">
        <v>21</v>
      </c>
      <c r="N65" s="62"/>
      <c r="O65" s="62">
        <v>0.4</v>
      </c>
      <c r="P65" s="62">
        <v>0.3261</v>
      </c>
      <c r="Q65" s="93">
        <v>0</v>
      </c>
      <c r="R65" s="60">
        <v>0.3333333333333333</v>
      </c>
      <c r="S65" s="60">
        <v>0.2</v>
      </c>
      <c r="T65" s="60">
        <v>0.4211</v>
      </c>
      <c r="U65" s="60">
        <v>0.0909</v>
      </c>
      <c r="V65" s="60">
        <v>0.2759</v>
      </c>
      <c r="W65" s="60">
        <v>0.06666666666666667</v>
      </c>
      <c r="X65" s="62">
        <v>0.4138</v>
      </c>
      <c r="Y65" s="62">
        <v>0.3333</v>
      </c>
      <c r="Z65" s="62">
        <v>0.3235</v>
      </c>
      <c r="AA65" s="62">
        <v>0.25</v>
      </c>
      <c r="AB65" s="62">
        <v>0.3077</v>
      </c>
      <c r="AC65" s="62">
        <v>0.1</v>
      </c>
      <c r="AD65" s="62">
        <v>0.2857</v>
      </c>
      <c r="AE65" s="62">
        <v>0.1111111111111111</v>
      </c>
      <c r="AF65" s="62">
        <v>0.3077</v>
      </c>
      <c r="AG65" s="84"/>
      <c r="AH65" s="62">
        <v>0.3571</v>
      </c>
      <c r="AI65" s="84"/>
      <c r="AJ65" s="62">
        <v>0.55</v>
      </c>
      <c r="AK65" s="80">
        <v>0.1667</v>
      </c>
      <c r="AL65" s="62">
        <v>0.2917</v>
      </c>
      <c r="AM65" s="62">
        <v>0.2</v>
      </c>
      <c r="AN65" s="62">
        <v>0.4166666666666667</v>
      </c>
      <c r="AO65" s="86"/>
      <c r="AP65" s="81">
        <v>0.4643</v>
      </c>
      <c r="AQ65" s="81">
        <v>0.3333333333333333</v>
      </c>
      <c r="AR65" s="81">
        <v>0.42105263157894735</v>
      </c>
      <c r="AS65" s="81">
        <v>0.4</v>
      </c>
      <c r="AT65" s="81">
        <v>0.3225806451612903</v>
      </c>
      <c r="AU65" s="81">
        <v>0.2222222222222222</v>
      </c>
      <c r="AV65" s="81">
        <v>0.37037037037037035</v>
      </c>
      <c r="AW65" s="81">
        <v>0.1538</v>
      </c>
      <c r="AX65" s="81">
        <v>0.3611</v>
      </c>
      <c r="AY65" s="81">
        <v>0.0714</v>
      </c>
      <c r="AZ65" s="81">
        <v>0.2581</v>
      </c>
      <c r="BA65" s="81">
        <v>0.3333333333333333</v>
      </c>
      <c r="BB65" s="81">
        <v>0.6333</v>
      </c>
      <c r="BC65" s="60">
        <f>AVERAGE(O65:P65)</f>
        <v>0.36305</v>
      </c>
      <c r="BD65" s="60">
        <f>AVERAGE(Q65:R65)</f>
        <v>0.16666666666666666</v>
      </c>
      <c r="BE65" s="60">
        <f>AVERAGE(S65:T65)</f>
        <v>0.31055</v>
      </c>
      <c r="BF65" s="60">
        <f>AVERAGE(U65:V65)</f>
        <v>0.18339999999999998</v>
      </c>
      <c r="BG65" s="62">
        <f>AVERAGE(W65:X65)</f>
        <v>0.24023333333333333</v>
      </c>
      <c r="BH65" s="62">
        <f>(Z65+Y65)/2</f>
        <v>0.3284</v>
      </c>
      <c r="BI65" s="62">
        <f>AVERAGE(AA65:AB65)</f>
        <v>0.27885</v>
      </c>
      <c r="BJ65" s="62">
        <f>AVERAGE(AC65:AD65)</f>
        <v>0.19285000000000002</v>
      </c>
      <c r="BK65" s="62">
        <f>AVERAGE(AE65:AF65)</f>
        <v>0.20940555555555554</v>
      </c>
      <c r="BL65" s="62">
        <f>AVERAGE(AG65:AH65)</f>
        <v>0.3571</v>
      </c>
      <c r="BM65" s="62">
        <f>AVERAGE(AI65:AJ65)</f>
        <v>0.55</v>
      </c>
      <c r="BN65" s="62">
        <f>AVERAGE(AK65:AL65)</f>
        <v>0.22920000000000001</v>
      </c>
      <c r="BO65" s="62">
        <f aca="true" t="shared" si="18" ref="BO65:BT66">AVERAGE(AM65:AN65)</f>
        <v>0.30833333333333335</v>
      </c>
      <c r="BP65" s="62">
        <f t="shared" si="18"/>
        <v>0.4166666666666667</v>
      </c>
      <c r="BQ65" s="62">
        <f t="shared" si="18"/>
        <v>0.4643</v>
      </c>
      <c r="BR65" s="62">
        <f t="shared" si="18"/>
        <v>0.39881666666666665</v>
      </c>
      <c r="BS65" s="62">
        <f t="shared" si="18"/>
        <v>0.3771929824561403</v>
      </c>
      <c r="BT65" s="62">
        <f t="shared" si="18"/>
        <v>0.4105263157894737</v>
      </c>
      <c r="BU65" s="62">
        <f>AVERAGE(AY65:AZ65)</f>
        <v>0.16475</v>
      </c>
      <c r="BV65" s="62"/>
      <c r="BW65" s="61">
        <v>145</v>
      </c>
      <c r="BX65" s="54">
        <v>137</v>
      </c>
      <c r="BY65" s="54">
        <v>122</v>
      </c>
      <c r="BZ65" s="54">
        <v>100</v>
      </c>
      <c r="CA65" s="54">
        <v>94</v>
      </c>
      <c r="CB65" s="54">
        <v>90</v>
      </c>
      <c r="CC65" s="54">
        <v>79</v>
      </c>
      <c r="CD65" s="44">
        <v>75</v>
      </c>
      <c r="CE65" s="54">
        <v>94</v>
      </c>
      <c r="CF65" s="54">
        <v>87</v>
      </c>
      <c r="CG65" s="54">
        <f>97+3</f>
        <v>100</v>
      </c>
      <c r="CH65" s="54">
        <f>119+16</f>
        <v>135</v>
      </c>
      <c r="CI65" s="54">
        <f>137+10</f>
        <v>147</v>
      </c>
      <c r="CJ65" s="54">
        <f>147+14</f>
        <v>161</v>
      </c>
      <c r="CK65" s="54">
        <f>157+16</f>
        <v>173</v>
      </c>
      <c r="CL65" s="54">
        <f>159+13</f>
        <v>172</v>
      </c>
      <c r="CM65" s="54">
        <f>127+20</f>
        <v>147</v>
      </c>
      <c r="CN65" s="54">
        <f>133+16</f>
        <v>149</v>
      </c>
      <c r="CO65" s="54">
        <f>143+25</f>
        <v>168</v>
      </c>
      <c r="CP65" s="54">
        <v>169</v>
      </c>
      <c r="CQ65" s="54">
        <v>157</v>
      </c>
      <c r="CR65" s="55">
        <v>0.55</v>
      </c>
      <c r="CS65" s="55">
        <v>0.5</v>
      </c>
      <c r="CT65" s="55">
        <v>0.62</v>
      </c>
      <c r="CU65" s="55">
        <v>0.79</v>
      </c>
      <c r="CV65" s="55">
        <v>0.77</v>
      </c>
      <c r="CW65" s="64">
        <v>0.77</v>
      </c>
      <c r="CX65" s="64">
        <v>0.57</v>
      </c>
      <c r="CY65" s="66"/>
      <c r="CZ65" s="55">
        <v>0.85</v>
      </c>
      <c r="DA65" s="55">
        <v>0.83</v>
      </c>
      <c r="DB65" s="55">
        <v>0.63</v>
      </c>
      <c r="DC65" s="55">
        <v>0.8</v>
      </c>
      <c r="DD65" s="55">
        <v>0.75</v>
      </c>
      <c r="DE65" s="66"/>
      <c r="DF65" s="55">
        <v>0.79</v>
      </c>
      <c r="DG65" s="55">
        <v>1</v>
      </c>
      <c r="DH65" s="55">
        <v>0.82</v>
      </c>
      <c r="DI65" s="55">
        <v>0.65</v>
      </c>
      <c r="DJ65" s="55">
        <v>0.74</v>
      </c>
      <c r="DK65" s="55">
        <v>0.5555555555555556</v>
      </c>
      <c r="DL65" s="55">
        <v>0.56</v>
      </c>
      <c r="DM65" s="55">
        <v>0.77</v>
      </c>
      <c r="DN65" s="55">
        <v>0.75</v>
      </c>
      <c r="DO65" s="55">
        <v>0.6428571428571429</v>
      </c>
      <c r="DP65" s="55">
        <v>0.5483870967741935</v>
      </c>
      <c r="DQ65" s="55">
        <v>0.6666666666666666</v>
      </c>
      <c r="DR65" s="55">
        <v>0.833333333333333</v>
      </c>
      <c r="DS65" s="55">
        <v>0.63</v>
      </c>
      <c r="DT65" s="55">
        <v>0.68</v>
      </c>
      <c r="DU65" s="55">
        <v>0.75</v>
      </c>
      <c r="DV65" s="55">
        <v>0.65</v>
      </c>
      <c r="DW65" s="55">
        <v>0.65</v>
      </c>
      <c r="DX65" s="55">
        <v>0.81</v>
      </c>
      <c r="DY65" s="122" t="s">
        <v>211</v>
      </c>
      <c r="DZ65" s="122" t="s">
        <v>211</v>
      </c>
      <c r="EA65" s="124" t="s">
        <v>211</v>
      </c>
      <c r="EB65" s="124" t="s">
        <v>211</v>
      </c>
      <c r="EC65" s="122">
        <v>0.65</v>
      </c>
      <c r="ED65" s="122">
        <v>1</v>
      </c>
      <c r="EE65" s="124">
        <v>0.5</v>
      </c>
      <c r="EF65" s="124">
        <v>0.75</v>
      </c>
      <c r="EG65" s="122">
        <v>0.417</v>
      </c>
      <c r="EH65" s="122">
        <v>0.909</v>
      </c>
      <c r="EI65" s="124">
        <v>0.6</v>
      </c>
      <c r="EJ65" s="124">
        <v>1</v>
      </c>
      <c r="EK65" s="122">
        <v>0.667</v>
      </c>
      <c r="EL65" s="122">
        <v>1</v>
      </c>
      <c r="EM65" s="124">
        <v>0.571</v>
      </c>
      <c r="EN65" s="124">
        <v>1</v>
      </c>
      <c r="EO65" s="122">
        <v>0.333</v>
      </c>
      <c r="EP65" s="122">
        <v>1</v>
      </c>
      <c r="EQ65" s="123">
        <v>0.684</v>
      </c>
      <c r="ER65" s="123">
        <v>0.929</v>
      </c>
      <c r="ES65" s="122">
        <v>0.45</v>
      </c>
      <c r="ET65" s="122">
        <v>0.9</v>
      </c>
      <c r="EU65" s="123">
        <v>0.452</v>
      </c>
      <c r="EV65" s="123">
        <v>1</v>
      </c>
      <c r="EW65" s="122">
        <v>0.222</v>
      </c>
      <c r="EX65" s="122">
        <v>1</v>
      </c>
      <c r="EY65" s="124">
        <v>0.407</v>
      </c>
      <c r="EZ65" s="124">
        <v>1</v>
      </c>
      <c r="FA65" s="122">
        <v>0.385</v>
      </c>
      <c r="FB65" s="122">
        <v>1</v>
      </c>
      <c r="FC65" s="124">
        <v>0.417</v>
      </c>
      <c r="FD65" s="124">
        <v>1</v>
      </c>
      <c r="FE65" s="122">
        <v>0.071</v>
      </c>
      <c r="FF65" s="122">
        <v>0.5</v>
      </c>
      <c r="FG65" s="124">
        <v>0.161</v>
      </c>
      <c r="FH65" s="124">
        <v>0.417</v>
      </c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58" customFormat="1" ht="12.75">
      <c r="A66" s="47" t="s">
        <v>27</v>
      </c>
      <c r="B66" s="47" t="s">
        <v>311</v>
      </c>
      <c r="C66" s="39" t="s">
        <v>6</v>
      </c>
      <c r="D66" s="39">
        <v>5081300006</v>
      </c>
      <c r="E66" s="39">
        <v>561300017</v>
      </c>
      <c r="F66" s="26" t="s">
        <v>82</v>
      </c>
      <c r="G66" s="10" t="s">
        <v>318</v>
      </c>
      <c r="H66" s="10" t="s">
        <v>67</v>
      </c>
      <c r="I66" s="10" t="s">
        <v>164</v>
      </c>
      <c r="J66" s="10" t="s">
        <v>171</v>
      </c>
      <c r="K66" s="61"/>
      <c r="L66" s="75" t="s">
        <v>21</v>
      </c>
      <c r="M66" s="62"/>
      <c r="N66" s="62"/>
      <c r="O66" s="76"/>
      <c r="P66" s="76"/>
      <c r="Q66" s="76"/>
      <c r="R66" s="76"/>
      <c r="S66" s="76"/>
      <c r="T66" s="76"/>
      <c r="U66" s="76"/>
      <c r="V66" s="60">
        <v>0.5</v>
      </c>
      <c r="W66" s="60">
        <v>0.5</v>
      </c>
      <c r="X66" s="62">
        <v>0.8182</v>
      </c>
      <c r="Y66" s="86"/>
      <c r="Z66" s="62">
        <v>0.2778</v>
      </c>
      <c r="AA66" s="86"/>
      <c r="AB66" s="62">
        <v>0.1852</v>
      </c>
      <c r="AC66" s="86"/>
      <c r="AD66" s="62">
        <v>0.1</v>
      </c>
      <c r="AE66" s="86"/>
      <c r="AF66" s="62">
        <v>0.2308</v>
      </c>
      <c r="AG66" s="84"/>
      <c r="AH66" s="62">
        <v>0.4545</v>
      </c>
      <c r="AI66" s="84"/>
      <c r="AJ66" s="62">
        <v>0.4667</v>
      </c>
      <c r="AK66" s="92"/>
      <c r="AL66" s="62">
        <v>0.6316</v>
      </c>
      <c r="AM66" s="86"/>
      <c r="AN66" s="62">
        <v>0.39473684210526316</v>
      </c>
      <c r="AO66" s="62">
        <v>0.23809523809523808</v>
      </c>
      <c r="AP66" s="81">
        <v>0.1481</v>
      </c>
      <c r="AQ66" s="81">
        <v>0.21052631578947367</v>
      </c>
      <c r="AR66" s="81">
        <v>0.3548387096774194</v>
      </c>
      <c r="AS66" s="81">
        <v>0.16666666666666666</v>
      </c>
      <c r="AT66" s="81">
        <v>0.36363636363636365</v>
      </c>
      <c r="AU66" s="81">
        <v>0.35294117647058826</v>
      </c>
      <c r="AV66" s="81">
        <v>0.25</v>
      </c>
      <c r="AW66" s="81">
        <v>0.3</v>
      </c>
      <c r="AX66" s="81">
        <v>0.2308</v>
      </c>
      <c r="AY66" s="91"/>
      <c r="AZ66" s="91"/>
      <c r="BA66" s="91"/>
      <c r="BB66" s="91"/>
      <c r="BC66" s="60"/>
      <c r="BD66" s="60"/>
      <c r="BE66" s="60"/>
      <c r="BF66" s="60">
        <f>AVERAGE(U66:V66)</f>
        <v>0.5</v>
      </c>
      <c r="BG66" s="62">
        <f>AVERAGE(W66:X66)</f>
        <v>0.6591</v>
      </c>
      <c r="BH66" s="62">
        <f>(Z66+Y66)/2</f>
        <v>0.1389</v>
      </c>
      <c r="BI66" s="62">
        <f>AVERAGE(AA66:AB66)</f>
        <v>0.1852</v>
      </c>
      <c r="BJ66" s="62">
        <f>AVERAGE(AC66:AD66)</f>
        <v>0.1</v>
      </c>
      <c r="BK66" s="62">
        <f>AVERAGE(AE66:AF66)</f>
        <v>0.2308</v>
      </c>
      <c r="BL66" s="62">
        <f>AVERAGE(AG66:AH66)</f>
        <v>0.4545</v>
      </c>
      <c r="BM66" s="62">
        <f>AVERAGE(AI66:AJ66)</f>
        <v>0.4667</v>
      </c>
      <c r="BN66" s="62">
        <f>AVERAGE(AK66:AL66)</f>
        <v>0.6316</v>
      </c>
      <c r="BO66" s="62">
        <f t="shared" si="18"/>
        <v>0.39473684210526316</v>
      </c>
      <c r="BP66" s="62">
        <f t="shared" si="18"/>
        <v>0.3164160401002506</v>
      </c>
      <c r="BQ66" s="62">
        <f t="shared" si="18"/>
        <v>0.19309761904761905</v>
      </c>
      <c r="BR66" s="62">
        <f t="shared" si="18"/>
        <v>0.17931315789473684</v>
      </c>
      <c r="BS66" s="62">
        <f t="shared" si="18"/>
        <v>0.2826825127334465</v>
      </c>
      <c r="BT66" s="62">
        <f t="shared" si="18"/>
        <v>0.260752688172043</v>
      </c>
      <c r="BU66" s="62"/>
      <c r="BV66" s="62"/>
      <c r="BW66" s="61">
        <v>8</v>
      </c>
      <c r="BX66" s="54">
        <v>18</v>
      </c>
      <c r="BY66" s="54">
        <v>30</v>
      </c>
      <c r="BZ66" s="54">
        <v>48</v>
      </c>
      <c r="CA66" s="54">
        <v>47</v>
      </c>
      <c r="CB66" s="54">
        <v>49</v>
      </c>
      <c r="CC66" s="54">
        <v>46</v>
      </c>
      <c r="CD66" s="44">
        <v>51</v>
      </c>
      <c r="CE66" s="54">
        <v>85</v>
      </c>
      <c r="CF66" s="54">
        <v>100</v>
      </c>
      <c r="CG66" s="54">
        <f>94+16</f>
        <v>110</v>
      </c>
      <c r="CH66" s="54">
        <f>121+7</f>
        <v>128</v>
      </c>
      <c r="CI66" s="54">
        <f>128+14</f>
        <v>142</v>
      </c>
      <c r="CJ66" s="54">
        <f>143+9</f>
        <v>152</v>
      </c>
      <c r="CK66" s="61">
        <v>134</v>
      </c>
      <c r="CL66" s="61">
        <f>144+18</f>
        <v>162</v>
      </c>
      <c r="CM66" s="61">
        <f>127+20</f>
        <v>147</v>
      </c>
      <c r="CN66" s="61">
        <f>34+0</f>
        <v>34</v>
      </c>
      <c r="CO66" s="61">
        <v>16</v>
      </c>
      <c r="CP66" s="61"/>
      <c r="CQ66" s="61"/>
      <c r="CR66" s="55">
        <v>0.91</v>
      </c>
      <c r="CS66" s="55">
        <v>0.44</v>
      </c>
      <c r="CT66" s="55">
        <v>0.48</v>
      </c>
      <c r="CU66" s="55">
        <v>0.4</v>
      </c>
      <c r="CV66" s="55">
        <v>0.77</v>
      </c>
      <c r="CW66" s="64">
        <v>0.77</v>
      </c>
      <c r="CX66" s="64">
        <v>0.82</v>
      </c>
      <c r="CY66" s="66"/>
      <c r="CZ66" s="55">
        <v>0.73</v>
      </c>
      <c r="DA66" s="66"/>
      <c r="DB66" s="55">
        <v>0.84</v>
      </c>
      <c r="DC66" s="66"/>
      <c r="DD66" s="55">
        <v>0.63</v>
      </c>
      <c r="DE66" s="66"/>
      <c r="DF66" s="55">
        <v>0.6</v>
      </c>
      <c r="DG66" s="55">
        <v>0.75</v>
      </c>
      <c r="DH66" s="55">
        <v>0.68</v>
      </c>
      <c r="DI66" s="55">
        <v>0.57</v>
      </c>
      <c r="DJ66" s="55">
        <v>0.68</v>
      </c>
      <c r="DK66" s="55">
        <v>0.92</v>
      </c>
      <c r="DL66" s="55">
        <v>0.47</v>
      </c>
      <c r="DM66" s="55">
        <v>0.8</v>
      </c>
      <c r="DN66" s="55">
        <v>0.65</v>
      </c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22" t="s">
        <v>211</v>
      </c>
      <c r="DZ66" s="122" t="s">
        <v>211</v>
      </c>
      <c r="EA66" s="124">
        <v>0.667</v>
      </c>
      <c r="EB66" s="124">
        <v>1</v>
      </c>
      <c r="EC66" s="122" t="s">
        <v>211</v>
      </c>
      <c r="ED66" s="122" t="s">
        <v>211</v>
      </c>
      <c r="EE66" s="124">
        <v>0.667</v>
      </c>
      <c r="EF66" s="124">
        <v>1</v>
      </c>
      <c r="EG66" s="122">
        <v>0.684</v>
      </c>
      <c r="EH66" s="122">
        <v>0.929</v>
      </c>
      <c r="EI66" s="124">
        <v>0.474</v>
      </c>
      <c r="EJ66" s="124">
        <v>0.818</v>
      </c>
      <c r="EK66" s="122">
        <v>0.429</v>
      </c>
      <c r="EL66" s="122">
        <v>1</v>
      </c>
      <c r="EM66" s="124">
        <v>0.48</v>
      </c>
      <c r="EN66" s="124">
        <v>0.923</v>
      </c>
      <c r="EO66" s="122">
        <v>0.563</v>
      </c>
      <c r="EP66" s="122">
        <v>1</v>
      </c>
      <c r="EQ66" s="123">
        <v>0.484</v>
      </c>
      <c r="ER66" s="123">
        <v>0.882</v>
      </c>
      <c r="ES66" s="122">
        <v>0.286</v>
      </c>
      <c r="ET66" s="122">
        <v>0.667</v>
      </c>
      <c r="EU66" s="123">
        <v>0.409</v>
      </c>
      <c r="EV66" s="123">
        <v>0.9</v>
      </c>
      <c r="EW66" s="122">
        <v>0.769</v>
      </c>
      <c r="EX66" s="122">
        <v>1</v>
      </c>
      <c r="EY66" s="124">
        <v>0.406</v>
      </c>
      <c r="EZ66" s="124">
        <v>1</v>
      </c>
      <c r="FA66" s="122">
        <v>0.4</v>
      </c>
      <c r="FB66" s="122">
        <v>0.8</v>
      </c>
      <c r="FC66" s="124">
        <v>0.231</v>
      </c>
      <c r="FD66" s="124">
        <v>1</v>
      </c>
      <c r="FE66" s="131" t="s">
        <v>211</v>
      </c>
      <c r="FF66" s="131" t="s">
        <v>211</v>
      </c>
      <c r="FG66" s="132" t="s">
        <v>211</v>
      </c>
      <c r="FH66" s="132" t="s">
        <v>211</v>
      </c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58" customFormat="1" ht="12.75">
      <c r="A67" s="47" t="s">
        <v>27</v>
      </c>
      <c r="B67" s="47" t="s">
        <v>311</v>
      </c>
      <c r="C67" s="39" t="s">
        <v>6</v>
      </c>
      <c r="D67" s="39">
        <v>5081300008</v>
      </c>
      <c r="E67" s="39">
        <v>561300020</v>
      </c>
      <c r="F67" s="26" t="s">
        <v>260</v>
      </c>
      <c r="G67" s="10" t="s">
        <v>318</v>
      </c>
      <c r="H67" s="10" t="s">
        <v>67</v>
      </c>
      <c r="I67" s="10" t="s">
        <v>164</v>
      </c>
      <c r="J67" s="10" t="s">
        <v>171</v>
      </c>
      <c r="K67" s="61"/>
      <c r="L67" s="75"/>
      <c r="M67" s="62"/>
      <c r="N67" s="62"/>
      <c r="O67" s="76"/>
      <c r="P67" s="76"/>
      <c r="Q67" s="76"/>
      <c r="R67" s="76"/>
      <c r="S67" s="76"/>
      <c r="T67" s="76"/>
      <c r="U67" s="76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81">
        <v>0.1538</v>
      </c>
      <c r="AZ67" s="81">
        <v>0.3793</v>
      </c>
      <c r="BA67" s="81">
        <v>0.17647058823529413</v>
      </c>
      <c r="BB67" s="81">
        <v>0.16</v>
      </c>
      <c r="BC67" s="60"/>
      <c r="BD67" s="60"/>
      <c r="BE67" s="60"/>
      <c r="BF67" s="60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f>AVERAGE(AY67:AZ67)</f>
        <v>0.26655</v>
      </c>
      <c r="BV67" s="62"/>
      <c r="BW67" s="61"/>
      <c r="BX67" s="54"/>
      <c r="BY67" s="54"/>
      <c r="BZ67" s="54"/>
      <c r="CA67" s="54"/>
      <c r="CB67" s="54"/>
      <c r="CC67" s="54"/>
      <c r="CD67" s="44"/>
      <c r="CE67" s="54"/>
      <c r="CF67" s="54"/>
      <c r="CG67" s="54"/>
      <c r="CH67" s="54"/>
      <c r="CI67" s="54"/>
      <c r="CJ67" s="54"/>
      <c r="CK67" s="61"/>
      <c r="CL67" s="61"/>
      <c r="CM67" s="61"/>
      <c r="CN67" s="61">
        <f>113+14</f>
        <v>127</v>
      </c>
      <c r="CO67" s="61">
        <f>137+24</f>
        <v>161</v>
      </c>
      <c r="CP67" s="61">
        <v>187</v>
      </c>
      <c r="CQ67" s="61">
        <v>166</v>
      </c>
      <c r="CR67" s="55"/>
      <c r="CS67" s="55"/>
      <c r="CT67" s="55"/>
      <c r="CU67" s="55"/>
      <c r="CV67" s="55"/>
      <c r="CW67" s="64"/>
      <c r="CX67" s="64"/>
      <c r="CY67" s="66"/>
      <c r="CZ67" s="55"/>
      <c r="DA67" s="66"/>
      <c r="DB67" s="55"/>
      <c r="DC67" s="66"/>
      <c r="DD67" s="55"/>
      <c r="DE67" s="66"/>
      <c r="DF67" s="55"/>
      <c r="DG67" s="55"/>
      <c r="DH67" s="55"/>
      <c r="DI67" s="55"/>
      <c r="DJ67" s="55"/>
      <c r="DK67" s="55"/>
      <c r="DL67" s="55"/>
      <c r="DM67" s="55"/>
      <c r="DN67" s="55"/>
      <c r="DO67" s="55">
        <v>0.69</v>
      </c>
      <c r="DP67" s="55">
        <v>0.79</v>
      </c>
      <c r="DQ67" s="55">
        <v>0.76</v>
      </c>
      <c r="DR67" s="55">
        <v>0.76</v>
      </c>
      <c r="DS67" s="55">
        <v>0.94</v>
      </c>
      <c r="DT67" s="55">
        <v>0.72</v>
      </c>
      <c r="DU67" s="55">
        <v>0.69</v>
      </c>
      <c r="DV67" s="55">
        <v>0.7</v>
      </c>
      <c r="DW67" s="55">
        <v>0.7727272727272727</v>
      </c>
      <c r="DX67" s="55">
        <v>0.76</v>
      </c>
      <c r="DY67" s="122"/>
      <c r="DZ67" s="122"/>
      <c r="EA67" s="124"/>
      <c r="EB67" s="124"/>
      <c r="EC67" s="122"/>
      <c r="ED67" s="122"/>
      <c r="EE67" s="124"/>
      <c r="EF67" s="124"/>
      <c r="EG67" s="122"/>
      <c r="EH67" s="122"/>
      <c r="EI67" s="124"/>
      <c r="EJ67" s="124"/>
      <c r="EK67" s="122"/>
      <c r="EL67" s="122"/>
      <c r="EM67" s="124"/>
      <c r="EN67" s="124"/>
      <c r="EO67" s="122"/>
      <c r="EP67" s="122"/>
      <c r="EQ67" s="123"/>
      <c r="ER67" s="123"/>
      <c r="ES67" s="122" t="s">
        <v>211</v>
      </c>
      <c r="ET67" s="122" t="s">
        <v>211</v>
      </c>
      <c r="EU67" s="123" t="s">
        <v>211</v>
      </c>
      <c r="EV67" s="123" t="s">
        <v>211</v>
      </c>
      <c r="EW67" s="122" t="s">
        <v>211</v>
      </c>
      <c r="EX67" s="122" t="s">
        <v>211</v>
      </c>
      <c r="EY67" s="123" t="s">
        <v>211</v>
      </c>
      <c r="EZ67" s="123" t="s">
        <v>211</v>
      </c>
      <c r="FA67" s="122" t="s">
        <v>211</v>
      </c>
      <c r="FB67" s="122" t="s">
        <v>211</v>
      </c>
      <c r="FC67" s="123" t="s">
        <v>211</v>
      </c>
      <c r="FD67" s="123" t="s">
        <v>211</v>
      </c>
      <c r="FE67" s="122">
        <v>0</v>
      </c>
      <c r="FF67" s="122">
        <v>0</v>
      </c>
      <c r="FG67" s="123">
        <v>0</v>
      </c>
      <c r="FH67" s="123">
        <v>0</v>
      </c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58" customFormat="1" ht="12.75">
      <c r="A68" s="47" t="s">
        <v>27</v>
      </c>
      <c r="B68" s="47" t="s">
        <v>311</v>
      </c>
      <c r="C68" s="39" t="s">
        <v>6</v>
      </c>
      <c r="D68" s="39">
        <v>5072100007</v>
      </c>
      <c r="E68" s="39">
        <v>552100014</v>
      </c>
      <c r="F68" s="26" t="s">
        <v>83</v>
      </c>
      <c r="G68" s="10" t="s">
        <v>318</v>
      </c>
      <c r="H68" s="10" t="s">
        <v>67</v>
      </c>
      <c r="I68" s="10" t="s">
        <v>163</v>
      </c>
      <c r="J68" s="10" t="s">
        <v>169</v>
      </c>
      <c r="K68" s="61">
        <v>1</v>
      </c>
      <c r="L68" s="75" t="s">
        <v>22</v>
      </c>
      <c r="M68" s="62" t="s">
        <v>21</v>
      </c>
      <c r="N68" s="62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62">
        <v>0.38461538461538464</v>
      </c>
      <c r="AA68" s="62">
        <v>0</v>
      </c>
      <c r="AB68" s="62">
        <v>0.3684</v>
      </c>
      <c r="AC68" s="86"/>
      <c r="AD68" s="62">
        <v>0.3333333333333333</v>
      </c>
      <c r="AE68" s="62">
        <v>0.2857</v>
      </c>
      <c r="AF68" s="62">
        <v>0.16</v>
      </c>
      <c r="AG68" s="84"/>
      <c r="AH68" s="62">
        <v>0.2381</v>
      </c>
      <c r="AI68" s="84"/>
      <c r="AJ68" s="62">
        <v>0.08</v>
      </c>
      <c r="AK68" s="92"/>
      <c r="AL68" s="62">
        <v>0.3333</v>
      </c>
      <c r="AM68" s="92"/>
      <c r="AN68" s="62">
        <v>0.3125</v>
      </c>
      <c r="AO68" s="62">
        <v>0.25</v>
      </c>
      <c r="AP68" s="81">
        <v>0.3333333333333333</v>
      </c>
      <c r="AQ68" s="81">
        <v>0</v>
      </c>
      <c r="AR68" s="81">
        <v>0.37037037037037035</v>
      </c>
      <c r="AS68" s="81">
        <v>0.2631578947368421</v>
      </c>
      <c r="AT68" s="81">
        <v>0.20833333333333334</v>
      </c>
      <c r="AU68" s="81">
        <v>0.05263157894736842</v>
      </c>
      <c r="AV68" s="81">
        <v>0.34782608695652173</v>
      </c>
      <c r="AW68" s="81">
        <v>0</v>
      </c>
      <c r="AX68" s="81">
        <v>0.28</v>
      </c>
      <c r="AY68" s="81">
        <v>0.0769</v>
      </c>
      <c r="AZ68" s="81">
        <v>0.04</v>
      </c>
      <c r="BA68" s="81">
        <v>0.2857142857142857</v>
      </c>
      <c r="BB68" s="81">
        <v>0.1429</v>
      </c>
      <c r="BC68" s="60"/>
      <c r="BD68" s="60"/>
      <c r="BE68" s="60"/>
      <c r="BF68" s="60"/>
      <c r="BG68" s="62"/>
      <c r="BH68" s="62">
        <f>(Z68+Y68)/2</f>
        <v>0.19230769230769232</v>
      </c>
      <c r="BI68" s="62">
        <f>AVERAGE(AA68:AB68)</f>
        <v>0.1842</v>
      </c>
      <c r="BJ68" s="62">
        <f>AVERAGE(AC68:AD68)</f>
        <v>0.3333333333333333</v>
      </c>
      <c r="BK68" s="62">
        <f>AVERAGE(AE68:AF68)</f>
        <v>0.22285</v>
      </c>
      <c r="BL68" s="62">
        <f>AVERAGE(AG68:AH68)</f>
        <v>0.2381</v>
      </c>
      <c r="BM68" s="62">
        <f>AVERAGE(AI68:AJ68)</f>
        <v>0.08</v>
      </c>
      <c r="BN68" s="62">
        <f>AVERAGE(AK68:AL68)</f>
        <v>0.3333</v>
      </c>
      <c r="BO68" s="62">
        <f aca="true" t="shared" si="19" ref="BO68:BT68">AVERAGE(AM68:AN68)</f>
        <v>0.3125</v>
      </c>
      <c r="BP68" s="62">
        <f t="shared" si="19"/>
        <v>0.28125</v>
      </c>
      <c r="BQ68" s="62">
        <f t="shared" si="19"/>
        <v>0.29166666666666663</v>
      </c>
      <c r="BR68" s="62">
        <f t="shared" si="19"/>
        <v>0.16666666666666666</v>
      </c>
      <c r="BS68" s="62">
        <f t="shared" si="19"/>
        <v>0.18518518518518517</v>
      </c>
      <c r="BT68" s="62">
        <f t="shared" si="19"/>
        <v>0.31676413255360625</v>
      </c>
      <c r="BU68" s="62">
        <f>AVERAGE(AY68:AZ68)</f>
        <v>0.05845</v>
      </c>
      <c r="BV68" s="62"/>
      <c r="BW68" s="78"/>
      <c r="BX68" s="78"/>
      <c r="BY68" s="54">
        <v>19</v>
      </c>
      <c r="BZ68" s="54">
        <v>37</v>
      </c>
      <c r="CA68" s="54">
        <v>51</v>
      </c>
      <c r="CB68" s="54">
        <v>87</v>
      </c>
      <c r="CC68" s="54">
        <v>80</v>
      </c>
      <c r="CD68" s="44">
        <v>88</v>
      </c>
      <c r="CE68" s="54">
        <v>85</v>
      </c>
      <c r="CF68" s="54">
        <v>99</v>
      </c>
      <c r="CG68" s="54">
        <f>76+7</f>
        <v>83</v>
      </c>
      <c r="CH68" s="54">
        <f>87+20</f>
        <v>107</v>
      </c>
      <c r="CI68" s="54">
        <f>101+19</f>
        <v>120</v>
      </c>
      <c r="CJ68" s="54">
        <f>110+9</f>
        <v>119</v>
      </c>
      <c r="CK68" s="54">
        <f>108+13</f>
        <v>121</v>
      </c>
      <c r="CL68" s="54">
        <f>136+21</f>
        <v>157</v>
      </c>
      <c r="CM68" s="54">
        <f>130+17</f>
        <v>147</v>
      </c>
      <c r="CN68" s="54">
        <f>129+17</f>
        <v>146</v>
      </c>
      <c r="CO68" s="54">
        <f>149+27</f>
        <v>176</v>
      </c>
      <c r="CP68" s="54">
        <v>195</v>
      </c>
      <c r="CQ68" s="54">
        <v>211</v>
      </c>
      <c r="CR68" s="76"/>
      <c r="CS68" s="55">
        <v>0.69</v>
      </c>
      <c r="CT68" s="55">
        <v>0.68</v>
      </c>
      <c r="CU68" s="55">
        <v>0.78</v>
      </c>
      <c r="CV68" s="55">
        <v>0.6</v>
      </c>
      <c r="CW68" s="64">
        <v>0.6</v>
      </c>
      <c r="CX68" s="64">
        <v>0.76</v>
      </c>
      <c r="CY68" s="66"/>
      <c r="CZ68" s="55">
        <v>0.52</v>
      </c>
      <c r="DA68" s="66"/>
      <c r="DB68" s="55">
        <v>0.5</v>
      </c>
      <c r="DC68" s="66"/>
      <c r="DD68" s="55">
        <v>0.5</v>
      </c>
      <c r="DE68" s="66"/>
      <c r="DF68" s="55">
        <v>0.47</v>
      </c>
      <c r="DG68" s="55">
        <v>0.4</v>
      </c>
      <c r="DH68" s="55">
        <v>0.67</v>
      </c>
      <c r="DI68" s="55">
        <v>0.37</v>
      </c>
      <c r="DJ68" s="55">
        <v>0.71</v>
      </c>
      <c r="DK68" s="55">
        <v>0.3157894736842105</v>
      </c>
      <c r="DL68" s="55">
        <v>0.7</v>
      </c>
      <c r="DM68" s="55">
        <v>0.13</v>
      </c>
      <c r="DN68" s="55">
        <v>0.52</v>
      </c>
      <c r="DO68" s="55">
        <v>0.6153846153846154</v>
      </c>
      <c r="DP68" s="55">
        <v>0.5</v>
      </c>
      <c r="DQ68" s="55">
        <v>0.6428571428571429</v>
      </c>
      <c r="DR68" s="55">
        <v>0.22857142857142856</v>
      </c>
      <c r="DS68" s="55">
        <v>0.67</v>
      </c>
      <c r="DT68" s="55">
        <v>0.65</v>
      </c>
      <c r="DU68" s="55">
        <v>0.7</v>
      </c>
      <c r="DV68" s="55">
        <v>0.81</v>
      </c>
      <c r="DW68" s="55">
        <v>0.77</v>
      </c>
      <c r="DX68" s="55">
        <v>0.89</v>
      </c>
      <c r="DY68" s="122" t="s">
        <v>211</v>
      </c>
      <c r="DZ68" s="122" t="s">
        <v>211</v>
      </c>
      <c r="EA68" s="124" t="s">
        <v>211</v>
      </c>
      <c r="EB68" s="124" t="s">
        <v>211</v>
      </c>
      <c r="EC68" s="122">
        <v>0.524</v>
      </c>
      <c r="ED68" s="122">
        <v>1</v>
      </c>
      <c r="EE68" s="124">
        <v>0.32</v>
      </c>
      <c r="EF68" s="124">
        <v>1</v>
      </c>
      <c r="EG68" s="122">
        <v>0.417</v>
      </c>
      <c r="EH68" s="122">
        <v>1</v>
      </c>
      <c r="EI68" s="124">
        <v>0.438</v>
      </c>
      <c r="EJ68" s="124">
        <v>0.933</v>
      </c>
      <c r="EK68" s="122">
        <v>0.25</v>
      </c>
      <c r="EL68" s="122">
        <v>0.75</v>
      </c>
      <c r="EM68" s="124">
        <v>0.533</v>
      </c>
      <c r="EN68" s="124">
        <v>1</v>
      </c>
      <c r="EO68" s="122">
        <v>0.2</v>
      </c>
      <c r="EP68" s="122">
        <v>1</v>
      </c>
      <c r="EQ68" s="123">
        <v>0.481</v>
      </c>
      <c r="ER68" s="123">
        <v>1</v>
      </c>
      <c r="ES68" s="122">
        <v>0.211</v>
      </c>
      <c r="ET68" s="122">
        <v>0.8</v>
      </c>
      <c r="EU68" s="123">
        <v>0.5</v>
      </c>
      <c r="EV68" s="123">
        <v>1</v>
      </c>
      <c r="EW68" s="122">
        <v>0.105</v>
      </c>
      <c r="EX68" s="122">
        <v>1</v>
      </c>
      <c r="EY68" s="123">
        <v>0.522</v>
      </c>
      <c r="EZ68" s="123">
        <v>1</v>
      </c>
      <c r="FA68" s="122">
        <v>0</v>
      </c>
      <c r="FB68" s="122">
        <v>0</v>
      </c>
      <c r="FC68" s="123">
        <v>0.28</v>
      </c>
      <c r="FD68" s="123">
        <v>1</v>
      </c>
      <c r="FE68" s="122">
        <v>0.231</v>
      </c>
      <c r="FF68" s="122">
        <v>0.75</v>
      </c>
      <c r="FG68" s="123">
        <v>0.04</v>
      </c>
      <c r="FH68" s="123">
        <v>0.167</v>
      </c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58" customFormat="1" ht="12.75">
      <c r="A69" s="47" t="s">
        <v>27</v>
      </c>
      <c r="B69" s="47" t="s">
        <v>311</v>
      </c>
      <c r="C69" s="39" t="s">
        <v>6</v>
      </c>
      <c r="D69" s="39">
        <v>5072100044</v>
      </c>
      <c r="E69" s="39">
        <v>533508402</v>
      </c>
      <c r="F69" s="26" t="s">
        <v>258</v>
      </c>
      <c r="G69" s="10" t="s">
        <v>318</v>
      </c>
      <c r="H69" s="10" t="s">
        <v>67</v>
      </c>
      <c r="I69" s="10" t="s">
        <v>163</v>
      </c>
      <c r="J69" s="10" t="s">
        <v>169</v>
      </c>
      <c r="K69" s="61"/>
      <c r="L69" s="75"/>
      <c r="M69" s="62"/>
      <c r="N69" s="62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62"/>
      <c r="AA69" s="62"/>
      <c r="AB69" s="62"/>
      <c r="AC69" s="86"/>
      <c r="AD69" s="62"/>
      <c r="AE69" s="62"/>
      <c r="AF69" s="62"/>
      <c r="AG69" s="84"/>
      <c r="AH69" s="62"/>
      <c r="AI69" s="84"/>
      <c r="AJ69" s="62"/>
      <c r="AK69" s="92"/>
      <c r="AL69" s="62"/>
      <c r="AM69" s="62"/>
      <c r="AN69" s="62"/>
      <c r="AO69" s="62"/>
      <c r="AP69" s="81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60"/>
      <c r="BD69" s="60"/>
      <c r="BE69" s="60"/>
      <c r="BF69" s="60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78"/>
      <c r="BX69" s="78"/>
      <c r="BY69" s="54"/>
      <c r="BZ69" s="54"/>
      <c r="CA69" s="54"/>
      <c r="CB69" s="54"/>
      <c r="CC69" s="54"/>
      <c r="CD69" s="44"/>
      <c r="CE69" s="54"/>
      <c r="CF69" s="54"/>
      <c r="CG69" s="54"/>
      <c r="CH69" s="54"/>
      <c r="CI69" s="54"/>
      <c r="CJ69" s="54"/>
      <c r="CK69" s="54"/>
      <c r="CL69" s="54"/>
      <c r="CM69" s="54">
        <f>0+7</f>
        <v>7</v>
      </c>
      <c r="CN69" s="54">
        <f>17+8</f>
        <v>25</v>
      </c>
      <c r="CO69" s="54">
        <f>47+7</f>
        <v>54</v>
      </c>
      <c r="CP69" s="54">
        <v>62</v>
      </c>
      <c r="CQ69" s="54">
        <v>57</v>
      </c>
      <c r="CR69" s="76"/>
      <c r="CS69" s="55"/>
      <c r="CT69" s="55"/>
      <c r="CU69" s="55"/>
      <c r="CV69" s="55"/>
      <c r="CW69" s="64"/>
      <c r="CX69" s="64"/>
      <c r="CY69" s="66"/>
      <c r="CZ69" s="55"/>
      <c r="DA69" s="66"/>
      <c r="DB69" s="55"/>
      <c r="DC69" s="66"/>
      <c r="DD69" s="55"/>
      <c r="DE69" s="66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66"/>
      <c r="DR69" s="66"/>
      <c r="DS69" s="64">
        <v>0.6</v>
      </c>
      <c r="DT69" s="64">
        <v>0.56</v>
      </c>
      <c r="DU69" s="64">
        <v>0.88</v>
      </c>
      <c r="DV69" s="64">
        <v>0.32</v>
      </c>
      <c r="DW69" s="55">
        <v>1</v>
      </c>
      <c r="DX69" s="55">
        <v>0.55</v>
      </c>
      <c r="DY69" s="122"/>
      <c r="DZ69" s="122"/>
      <c r="EA69" s="124"/>
      <c r="EB69" s="124"/>
      <c r="EC69" s="122"/>
      <c r="ED69" s="122"/>
      <c r="EE69" s="124"/>
      <c r="EF69" s="124"/>
      <c r="EG69" s="122"/>
      <c r="EH69" s="122"/>
      <c r="EI69" s="124"/>
      <c r="EJ69" s="124"/>
      <c r="EK69" s="122"/>
      <c r="EL69" s="122"/>
      <c r="EM69" s="124"/>
      <c r="EN69" s="124"/>
      <c r="EO69" s="122"/>
      <c r="EP69" s="122"/>
      <c r="EQ69" s="123"/>
      <c r="ER69" s="123"/>
      <c r="ES69" s="122" t="s">
        <v>211</v>
      </c>
      <c r="ET69" s="122" t="s">
        <v>211</v>
      </c>
      <c r="EU69" s="123" t="s">
        <v>211</v>
      </c>
      <c r="EV69" s="123" t="s">
        <v>211</v>
      </c>
      <c r="EW69" s="122" t="s">
        <v>211</v>
      </c>
      <c r="EX69" s="122" t="s">
        <v>211</v>
      </c>
      <c r="EY69" s="123" t="s">
        <v>211</v>
      </c>
      <c r="EZ69" s="123" t="s">
        <v>211</v>
      </c>
      <c r="FA69" s="122" t="s">
        <v>211</v>
      </c>
      <c r="FB69" s="122" t="s">
        <v>211</v>
      </c>
      <c r="FC69" s="123" t="s">
        <v>211</v>
      </c>
      <c r="FD69" s="123" t="s">
        <v>211</v>
      </c>
      <c r="FE69" s="122" t="s">
        <v>211</v>
      </c>
      <c r="FF69" s="122" t="s">
        <v>211</v>
      </c>
      <c r="FG69" s="123" t="s">
        <v>211</v>
      </c>
      <c r="FH69" s="123" t="s">
        <v>211</v>
      </c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58" customFormat="1" ht="12.75">
      <c r="A70" s="47" t="s">
        <v>27</v>
      </c>
      <c r="B70" s="47" t="s">
        <v>311</v>
      </c>
      <c r="C70" s="39" t="s">
        <v>6</v>
      </c>
      <c r="D70" s="39">
        <v>5082100001</v>
      </c>
      <c r="E70" s="39">
        <v>562100003</v>
      </c>
      <c r="F70" s="26" t="s">
        <v>118</v>
      </c>
      <c r="G70" s="10" t="s">
        <v>318</v>
      </c>
      <c r="H70" s="10" t="s">
        <v>67</v>
      </c>
      <c r="I70" s="10" t="s">
        <v>164</v>
      </c>
      <c r="J70" s="10" t="s">
        <v>170</v>
      </c>
      <c r="K70" s="61">
        <v>1</v>
      </c>
      <c r="L70" s="75" t="s">
        <v>22</v>
      </c>
      <c r="M70" s="62" t="s">
        <v>21</v>
      </c>
      <c r="N70" s="62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82"/>
      <c r="AD70" s="94"/>
      <c r="AE70" s="62">
        <v>0.2597</v>
      </c>
      <c r="AF70" s="62">
        <v>0.1538</v>
      </c>
      <c r="AG70" s="62">
        <v>0.1774</v>
      </c>
      <c r="AH70" s="62">
        <v>0.3125</v>
      </c>
      <c r="AI70" s="62">
        <v>0.25</v>
      </c>
      <c r="AJ70" s="62">
        <v>0.45714285714285713</v>
      </c>
      <c r="AK70" s="80">
        <v>0.36764705882352944</v>
      </c>
      <c r="AL70" s="62">
        <v>0.358974358974359</v>
      </c>
      <c r="AM70" s="62">
        <v>0.32</v>
      </c>
      <c r="AN70" s="62">
        <v>0.2222222222222222</v>
      </c>
      <c r="AO70" s="95">
        <v>0.352112676056338</v>
      </c>
      <c r="AP70" s="96">
        <v>0.375</v>
      </c>
      <c r="AQ70" s="81">
        <v>0.4594594594594595</v>
      </c>
      <c r="AR70" s="96">
        <v>0.1506849315068493</v>
      </c>
      <c r="AS70" s="96">
        <v>0.34285714285714286</v>
      </c>
      <c r="AT70" s="96">
        <v>0.09210526315789473</v>
      </c>
      <c r="AU70" s="96">
        <v>0.3418803418803419</v>
      </c>
      <c r="AV70" s="96">
        <v>0.14102564102564102</v>
      </c>
      <c r="AW70" s="96">
        <v>0.2952</v>
      </c>
      <c r="AX70" s="96">
        <v>0.274</v>
      </c>
      <c r="AY70" s="96">
        <v>0.4796</v>
      </c>
      <c r="AZ70" s="96">
        <v>0.1579</v>
      </c>
      <c r="BA70" s="96">
        <v>0.18691588785046728</v>
      </c>
      <c r="BB70" s="96">
        <v>0.1184</v>
      </c>
      <c r="BC70" s="60"/>
      <c r="BD70" s="60"/>
      <c r="BE70" s="60"/>
      <c r="BF70" s="60"/>
      <c r="BG70" s="62"/>
      <c r="BH70" s="62"/>
      <c r="BI70" s="62"/>
      <c r="BJ70" s="62"/>
      <c r="BK70" s="62">
        <f>AVERAGE(AE70:AF70)</f>
        <v>0.20675</v>
      </c>
      <c r="BL70" s="62">
        <f>AVERAGE(AG70:AH70)</f>
        <v>0.24495</v>
      </c>
      <c r="BM70" s="62">
        <f>AVERAGE(AI70:AJ70)</f>
        <v>0.35357142857142854</v>
      </c>
      <c r="BN70" s="62">
        <f>AVERAGE(AK70:AL70)</f>
        <v>0.36331070889894423</v>
      </c>
      <c r="BO70" s="62">
        <f aca="true" t="shared" si="20" ref="BO70:BT70">AVERAGE(AM70:AN70)</f>
        <v>0.2711111111111111</v>
      </c>
      <c r="BP70" s="62">
        <f t="shared" si="20"/>
        <v>0.2871674491392801</v>
      </c>
      <c r="BQ70" s="62">
        <f t="shared" si="20"/>
        <v>0.363556338028169</v>
      </c>
      <c r="BR70" s="62">
        <f t="shared" si="20"/>
        <v>0.4172297297297297</v>
      </c>
      <c r="BS70" s="62">
        <f t="shared" si="20"/>
        <v>0.3050721954831544</v>
      </c>
      <c r="BT70" s="62">
        <f t="shared" si="20"/>
        <v>0.24677103718199608</v>
      </c>
      <c r="BU70" s="62">
        <f>AVERAGE(AY70:AZ70)</f>
        <v>0.31875000000000003</v>
      </c>
      <c r="BV70" s="62"/>
      <c r="BW70" s="78"/>
      <c r="BX70" s="78"/>
      <c r="BY70" s="78"/>
      <c r="BZ70" s="78"/>
      <c r="CA70" s="54">
        <v>118</v>
      </c>
      <c r="CB70" s="54">
        <v>166</v>
      </c>
      <c r="CC70" s="54">
        <v>231</v>
      </c>
      <c r="CD70" s="44">
        <v>304</v>
      </c>
      <c r="CE70" s="54">
        <v>374</v>
      </c>
      <c r="CF70" s="54">
        <v>435</v>
      </c>
      <c r="CG70" s="54">
        <f>436+75</f>
        <v>511</v>
      </c>
      <c r="CH70" s="54">
        <f>516+76</f>
        <v>592</v>
      </c>
      <c r="CI70" s="54">
        <f>587+76</f>
        <v>663</v>
      </c>
      <c r="CJ70" s="54">
        <f>648+74</f>
        <v>722</v>
      </c>
      <c r="CK70" s="54">
        <f>695+80</f>
        <v>775</v>
      </c>
      <c r="CL70" s="54">
        <f>670+81</f>
        <v>751</v>
      </c>
      <c r="CM70" s="54">
        <f>671+89</f>
        <v>760</v>
      </c>
      <c r="CN70" s="54">
        <f>741+88</f>
        <v>829</v>
      </c>
      <c r="CO70" s="54">
        <f>774+80</f>
        <v>854</v>
      </c>
      <c r="CP70" s="54">
        <v>875</v>
      </c>
      <c r="CQ70" s="54">
        <v>885</v>
      </c>
      <c r="CR70" s="76"/>
      <c r="CS70" s="76"/>
      <c r="CT70" s="76"/>
      <c r="CU70" s="55">
        <v>0.51</v>
      </c>
      <c r="CV70" s="55">
        <v>0.55</v>
      </c>
      <c r="CW70" s="64">
        <v>0.72</v>
      </c>
      <c r="CX70" s="64">
        <v>0.8</v>
      </c>
      <c r="CY70" s="55">
        <v>0.83</v>
      </c>
      <c r="CZ70" s="55">
        <v>0.79</v>
      </c>
      <c r="DA70" s="55">
        <v>0.67</v>
      </c>
      <c r="DB70" s="55">
        <v>0.81</v>
      </c>
      <c r="DC70" s="55">
        <v>0.89</v>
      </c>
      <c r="DD70" s="55">
        <v>0.8</v>
      </c>
      <c r="DE70" s="55">
        <v>0.9</v>
      </c>
      <c r="DF70" s="55">
        <v>0.89</v>
      </c>
      <c r="DG70" s="55">
        <v>0.74</v>
      </c>
      <c r="DH70" s="55">
        <v>0.84</v>
      </c>
      <c r="DI70" s="55">
        <v>0.82</v>
      </c>
      <c r="DJ70" s="55">
        <v>0.85</v>
      </c>
      <c r="DK70" s="55">
        <v>0.7307692307692307</v>
      </c>
      <c r="DL70" s="55">
        <v>0.86</v>
      </c>
      <c r="DM70" s="55">
        <v>0.86</v>
      </c>
      <c r="DN70" s="55">
        <v>0.7</v>
      </c>
      <c r="DO70" s="55">
        <v>0.6578947368421053</v>
      </c>
      <c r="DP70" s="55">
        <v>0.6698113207547169</v>
      </c>
      <c r="DQ70" s="55">
        <v>0.6973684210526315</v>
      </c>
      <c r="DR70" s="55">
        <v>0.8045112781954887</v>
      </c>
      <c r="DS70" s="55">
        <v>0.87</v>
      </c>
      <c r="DT70" s="55">
        <v>0.74</v>
      </c>
      <c r="DU70" s="55">
        <v>0.77</v>
      </c>
      <c r="DV70" s="55">
        <v>0.78</v>
      </c>
      <c r="DW70" s="55">
        <v>0.7777777777777778</v>
      </c>
      <c r="DX70" s="55">
        <v>0.78</v>
      </c>
      <c r="DY70" s="122">
        <v>0.641</v>
      </c>
      <c r="DZ70" s="122">
        <v>0.953</v>
      </c>
      <c r="EA70" s="124">
        <v>0.571</v>
      </c>
      <c r="EB70" s="124">
        <v>0.909</v>
      </c>
      <c r="EC70" s="122">
        <v>0.588</v>
      </c>
      <c r="ED70" s="122">
        <v>0.952</v>
      </c>
      <c r="EE70" s="124">
        <v>0.538</v>
      </c>
      <c r="EF70" s="124">
        <v>0.913</v>
      </c>
      <c r="EG70" s="122">
        <v>0.52</v>
      </c>
      <c r="EH70" s="122">
        <v>0.886</v>
      </c>
      <c r="EI70" s="124">
        <v>0.583</v>
      </c>
      <c r="EJ70" s="124">
        <v>0.913</v>
      </c>
      <c r="EK70" s="122">
        <v>0.451</v>
      </c>
      <c r="EL70" s="122">
        <v>0.914</v>
      </c>
      <c r="EM70" s="124">
        <v>0.59</v>
      </c>
      <c r="EN70" s="124">
        <v>0.793</v>
      </c>
      <c r="EO70" s="122">
        <v>0.703</v>
      </c>
      <c r="EP70" s="122">
        <v>1</v>
      </c>
      <c r="EQ70" s="123">
        <v>0.425</v>
      </c>
      <c r="ER70" s="123">
        <v>0.886</v>
      </c>
      <c r="ES70" s="122">
        <v>0.495</v>
      </c>
      <c r="ET70" s="122">
        <v>0.897</v>
      </c>
      <c r="EU70" s="123">
        <v>0.408</v>
      </c>
      <c r="EV70" s="123">
        <v>0.969</v>
      </c>
      <c r="EW70" s="122">
        <v>0.564</v>
      </c>
      <c r="EX70" s="122">
        <v>0.985</v>
      </c>
      <c r="EY70" s="123">
        <v>0.346</v>
      </c>
      <c r="EZ70" s="123">
        <v>0.964</v>
      </c>
      <c r="FA70" s="122">
        <v>0.562</v>
      </c>
      <c r="FB70" s="122">
        <v>0.922</v>
      </c>
      <c r="FC70" s="123">
        <v>0.438</v>
      </c>
      <c r="FD70" s="123">
        <v>0.842</v>
      </c>
      <c r="FE70" s="122">
        <v>0.449</v>
      </c>
      <c r="FF70" s="122">
        <v>0.863</v>
      </c>
      <c r="FG70" s="123">
        <v>0.079</v>
      </c>
      <c r="FH70" s="123">
        <v>0.182</v>
      </c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58" customFormat="1" ht="12.75">
      <c r="A71" s="47" t="s">
        <v>27</v>
      </c>
      <c r="B71" s="47" t="s">
        <v>311</v>
      </c>
      <c r="C71" s="39" t="s">
        <v>6</v>
      </c>
      <c r="D71" s="39">
        <v>5081100040</v>
      </c>
      <c r="E71" s="39">
        <v>561100076</v>
      </c>
      <c r="F71" s="26" t="s">
        <v>261</v>
      </c>
      <c r="G71" s="10" t="s">
        <v>318</v>
      </c>
      <c r="H71" s="10" t="s">
        <v>67</v>
      </c>
      <c r="I71" s="10" t="s">
        <v>164</v>
      </c>
      <c r="J71" s="10" t="s">
        <v>169</v>
      </c>
      <c r="K71" s="61"/>
      <c r="L71" s="75" t="s">
        <v>22</v>
      </c>
      <c r="M71" s="36"/>
      <c r="N71" s="60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82"/>
      <c r="AD71" s="94"/>
      <c r="AE71" s="82"/>
      <c r="AF71" s="82"/>
      <c r="AG71" s="82"/>
      <c r="AH71" s="82"/>
      <c r="AI71" s="82"/>
      <c r="AJ71" s="82"/>
      <c r="AK71" s="97"/>
      <c r="AL71" s="82"/>
      <c r="AM71" s="82"/>
      <c r="AN71" s="82"/>
      <c r="AO71" s="82"/>
      <c r="AP71" s="96">
        <v>0.75</v>
      </c>
      <c r="AQ71" s="81">
        <v>0.3333333333333333</v>
      </c>
      <c r="AR71" s="96">
        <v>0.3548387096774194</v>
      </c>
      <c r="AS71" s="96">
        <v>0.3333333333333333</v>
      </c>
      <c r="AT71" s="96">
        <v>0.5714285714285714</v>
      </c>
      <c r="AU71" s="96">
        <v>0.35294117647058826</v>
      </c>
      <c r="AV71" s="96">
        <v>0.3448275862068966</v>
      </c>
      <c r="AW71" s="96">
        <v>0.4348</v>
      </c>
      <c r="AX71" s="96">
        <v>0.2941</v>
      </c>
      <c r="AY71" s="96">
        <v>0.1923</v>
      </c>
      <c r="AZ71" s="96">
        <v>0.3261</v>
      </c>
      <c r="BA71" s="96">
        <v>0.21212121212121213</v>
      </c>
      <c r="BB71" s="96">
        <v>0.2241</v>
      </c>
      <c r="BC71" s="60"/>
      <c r="BD71" s="60"/>
      <c r="BE71" s="60"/>
      <c r="BF71" s="60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>
        <f aca="true" t="shared" si="21" ref="BQ71:BT72">AVERAGE(AO71:AP71)</f>
        <v>0.75</v>
      </c>
      <c r="BR71" s="62">
        <f t="shared" si="21"/>
        <v>0.5416666666666666</v>
      </c>
      <c r="BS71" s="62">
        <f t="shared" si="21"/>
        <v>0.34408602150537637</v>
      </c>
      <c r="BT71" s="62">
        <f t="shared" si="21"/>
        <v>0.34408602150537637</v>
      </c>
      <c r="BU71" s="62">
        <f>AVERAGE(AY71:AZ71)</f>
        <v>0.2592</v>
      </c>
      <c r="BV71" s="62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54">
        <f>23+9</f>
        <v>32</v>
      </c>
      <c r="CH71" s="54">
        <f>50+18</f>
        <v>68</v>
      </c>
      <c r="CI71" s="54">
        <f>89+17</f>
        <v>106</v>
      </c>
      <c r="CJ71" s="54">
        <f>123+23</f>
        <v>146</v>
      </c>
      <c r="CK71" s="61">
        <v>163</v>
      </c>
      <c r="CL71" s="61">
        <f>199+33</f>
        <v>232</v>
      </c>
      <c r="CM71" s="61">
        <f>224+38</f>
        <v>262</v>
      </c>
      <c r="CN71" s="61">
        <f>234+36</f>
        <v>270</v>
      </c>
      <c r="CO71" s="61">
        <f>282+40</f>
        <v>322</v>
      </c>
      <c r="CP71" s="61">
        <v>354</v>
      </c>
      <c r="CQ71" s="61">
        <v>345</v>
      </c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55">
        <v>0.92</v>
      </c>
      <c r="DG71" s="55">
        <v>0.89</v>
      </c>
      <c r="DH71" s="55">
        <v>0.77</v>
      </c>
      <c r="DI71" s="55">
        <v>0.67</v>
      </c>
      <c r="DJ71" s="55">
        <v>0.83</v>
      </c>
      <c r="DK71" s="55">
        <v>0.7058823529411765</v>
      </c>
      <c r="DL71" s="55">
        <v>0.55</v>
      </c>
      <c r="DM71" s="55">
        <v>0.78</v>
      </c>
      <c r="DN71" s="55">
        <v>0.79</v>
      </c>
      <c r="DO71" s="55">
        <v>0.34615384615384615</v>
      </c>
      <c r="DP71" s="55">
        <v>0.717391304347826</v>
      </c>
      <c r="DQ71" s="55">
        <v>0.48484848484848486</v>
      </c>
      <c r="DR71" s="55">
        <v>0.7931034482758621</v>
      </c>
      <c r="DS71" s="55">
        <v>0.71</v>
      </c>
      <c r="DT71" s="55">
        <v>0.65</v>
      </c>
      <c r="DU71" s="55">
        <v>0.81</v>
      </c>
      <c r="DV71" s="55">
        <v>0.72</v>
      </c>
      <c r="DW71" s="55">
        <v>0.8</v>
      </c>
      <c r="DX71" s="55">
        <v>0.78</v>
      </c>
      <c r="DY71" s="122" t="s">
        <v>211</v>
      </c>
      <c r="DZ71" s="122" t="s">
        <v>211</v>
      </c>
      <c r="EA71" s="124" t="s">
        <v>211</v>
      </c>
      <c r="EB71" s="124" t="s">
        <v>211</v>
      </c>
      <c r="EC71" s="122" t="s">
        <v>211</v>
      </c>
      <c r="ED71" s="122" t="s">
        <v>211</v>
      </c>
      <c r="EE71" s="124" t="s">
        <v>211</v>
      </c>
      <c r="EF71" s="124" t="s">
        <v>211</v>
      </c>
      <c r="EG71" s="122" t="s">
        <v>211</v>
      </c>
      <c r="EH71" s="122" t="s">
        <v>211</v>
      </c>
      <c r="EI71" s="124" t="s">
        <v>211</v>
      </c>
      <c r="EJ71" s="124" t="s">
        <v>211</v>
      </c>
      <c r="EK71" s="122" t="s">
        <v>211</v>
      </c>
      <c r="EL71" s="122" t="s">
        <v>211</v>
      </c>
      <c r="EM71" s="124">
        <v>0.833</v>
      </c>
      <c r="EN71" s="124">
        <v>1</v>
      </c>
      <c r="EO71" s="122">
        <v>0.667</v>
      </c>
      <c r="EP71" s="122">
        <v>0.857</v>
      </c>
      <c r="EQ71" s="123">
        <v>0.484</v>
      </c>
      <c r="ER71" s="123">
        <v>0.833</v>
      </c>
      <c r="ES71" s="122">
        <v>0.3333</v>
      </c>
      <c r="ET71" s="122">
        <v>0.833</v>
      </c>
      <c r="EU71" s="123">
        <v>0.714</v>
      </c>
      <c r="EV71" s="123">
        <v>1</v>
      </c>
      <c r="EW71" s="122">
        <v>0.588</v>
      </c>
      <c r="EX71" s="122">
        <v>1</v>
      </c>
      <c r="EY71" s="124">
        <v>0.345</v>
      </c>
      <c r="EZ71" s="124">
        <v>0.833</v>
      </c>
      <c r="FA71" s="122">
        <v>0.478</v>
      </c>
      <c r="FB71" s="122">
        <v>1</v>
      </c>
      <c r="FC71" s="124">
        <v>0.471</v>
      </c>
      <c r="FD71" s="124">
        <v>0.8</v>
      </c>
      <c r="FE71" s="122">
        <v>0.154</v>
      </c>
      <c r="FF71" s="122">
        <v>0.444</v>
      </c>
      <c r="FG71" s="124">
        <v>0.022</v>
      </c>
      <c r="FH71" s="124">
        <v>0.034</v>
      </c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58" customFormat="1" ht="12.75">
      <c r="A72" s="47" t="s">
        <v>27</v>
      </c>
      <c r="B72" s="47" t="s">
        <v>311</v>
      </c>
      <c r="C72" s="39" t="s">
        <v>6</v>
      </c>
      <c r="D72" s="39">
        <v>5041100008</v>
      </c>
      <c r="E72" s="39">
        <v>533100003</v>
      </c>
      <c r="F72" s="26" t="s">
        <v>122</v>
      </c>
      <c r="G72" s="10" t="s">
        <v>318</v>
      </c>
      <c r="H72" s="10" t="s">
        <v>67</v>
      </c>
      <c r="I72" s="10" t="s">
        <v>163</v>
      </c>
      <c r="J72" s="10" t="s">
        <v>169</v>
      </c>
      <c r="K72" s="61"/>
      <c r="L72" s="75"/>
      <c r="M72" s="83"/>
      <c r="N72" s="62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7"/>
      <c r="AL72" s="76"/>
      <c r="AM72" s="76"/>
      <c r="AN72" s="95">
        <v>0.14285714285714285</v>
      </c>
      <c r="AO72" s="86"/>
      <c r="AP72" s="96">
        <v>0.1</v>
      </c>
      <c r="AQ72" s="81">
        <v>0.4</v>
      </c>
      <c r="AR72" s="96">
        <v>0.42857142857142855</v>
      </c>
      <c r="AS72" s="96">
        <v>0.75</v>
      </c>
      <c r="AT72" s="96">
        <v>0.5</v>
      </c>
      <c r="AU72" s="96">
        <v>0.25</v>
      </c>
      <c r="AV72" s="96">
        <v>0.14285714285714285</v>
      </c>
      <c r="AW72" s="98" t="s">
        <v>211</v>
      </c>
      <c r="AX72" s="98">
        <v>0.5</v>
      </c>
      <c r="AY72" s="98">
        <v>0.5455</v>
      </c>
      <c r="AZ72" s="99"/>
      <c r="BA72" s="99"/>
      <c r="BB72" s="99"/>
      <c r="BC72" s="50"/>
      <c r="BD72" s="50"/>
      <c r="BE72" s="50"/>
      <c r="BF72" s="50"/>
      <c r="BG72" s="54"/>
      <c r="BH72" s="54"/>
      <c r="BI72" s="54"/>
      <c r="BJ72" s="54"/>
      <c r="BK72" s="24"/>
      <c r="BL72" s="55"/>
      <c r="BM72" s="62"/>
      <c r="BN72" s="62"/>
      <c r="BO72" s="62">
        <f>AVERAGE(AM72:AN72)</f>
        <v>0.14285714285714285</v>
      </c>
      <c r="BP72" s="62">
        <f>AVERAGE(AN72:AO72)</f>
        <v>0.14285714285714285</v>
      </c>
      <c r="BQ72" s="62">
        <f t="shared" si="21"/>
        <v>0.1</v>
      </c>
      <c r="BR72" s="62">
        <f t="shared" si="21"/>
        <v>0.25</v>
      </c>
      <c r="BS72" s="62">
        <f t="shared" si="21"/>
        <v>0.41428571428571426</v>
      </c>
      <c r="BT72" s="62">
        <f t="shared" si="21"/>
        <v>0.5892857142857143</v>
      </c>
      <c r="BU72" s="62">
        <f>AVERAGE(AY72:AZ72)</f>
        <v>0.5455</v>
      </c>
      <c r="BV72" s="62"/>
      <c r="BW72" s="78"/>
      <c r="BX72" s="78"/>
      <c r="BY72" s="78"/>
      <c r="BZ72" s="78"/>
      <c r="CA72" s="78"/>
      <c r="CB72" s="78"/>
      <c r="CC72" s="78"/>
      <c r="CD72" s="78"/>
      <c r="CE72" s="78"/>
      <c r="CF72" s="54">
        <v>14</v>
      </c>
      <c r="CG72" s="54">
        <f>11+6</f>
        <v>17</v>
      </c>
      <c r="CH72" s="54">
        <f>23+6</f>
        <v>29</v>
      </c>
      <c r="CI72" s="54">
        <f>31+4</f>
        <v>35</v>
      </c>
      <c r="CJ72" s="54">
        <f>45</f>
        <v>45</v>
      </c>
      <c r="CK72" s="61">
        <v>48</v>
      </c>
      <c r="CL72" s="61">
        <v>38</v>
      </c>
      <c r="CM72" s="61">
        <f>25+0</f>
        <v>25</v>
      </c>
      <c r="CN72" s="61">
        <f>18+0</f>
        <v>18</v>
      </c>
      <c r="CO72" s="61">
        <v>15</v>
      </c>
      <c r="CP72" s="61"/>
      <c r="CQ72" s="61"/>
      <c r="CR72" s="55"/>
      <c r="CS72" s="55"/>
      <c r="CT72" s="55"/>
      <c r="CU72" s="55"/>
      <c r="CV72" s="55"/>
      <c r="CW72" s="64"/>
      <c r="CX72" s="64"/>
      <c r="CY72" s="55"/>
      <c r="CZ72" s="55"/>
      <c r="DA72" s="55"/>
      <c r="DB72" s="55"/>
      <c r="DC72" s="55"/>
      <c r="DD72" s="55">
        <v>0.64</v>
      </c>
      <c r="DE72" s="55"/>
      <c r="DF72" s="55">
        <v>0.6</v>
      </c>
      <c r="DG72" s="55">
        <v>0.8</v>
      </c>
      <c r="DH72" s="55">
        <v>0.71</v>
      </c>
      <c r="DI72" s="55">
        <v>1</v>
      </c>
      <c r="DJ72" s="55">
        <v>0.83</v>
      </c>
      <c r="DK72" s="55">
        <v>0.5</v>
      </c>
      <c r="DL72" s="55">
        <v>0.64</v>
      </c>
      <c r="DM72" s="66"/>
      <c r="DN72" s="55">
        <v>0.86</v>
      </c>
      <c r="DO72" s="66"/>
      <c r="DP72" s="55">
        <v>0.6363636363636364</v>
      </c>
      <c r="DQ72" s="130"/>
      <c r="DR72" s="130"/>
      <c r="DS72" s="130"/>
      <c r="DT72" s="130"/>
      <c r="DU72" s="130"/>
      <c r="DV72" s="130"/>
      <c r="DW72" s="130"/>
      <c r="DX72" s="130"/>
      <c r="DY72" s="122" t="s">
        <v>211</v>
      </c>
      <c r="DZ72" s="122" t="s">
        <v>211</v>
      </c>
      <c r="EA72" s="124" t="s">
        <v>211</v>
      </c>
      <c r="EB72" s="124" t="s">
        <v>211</v>
      </c>
      <c r="EC72" s="122" t="s">
        <v>211</v>
      </c>
      <c r="ED72" s="122" t="s">
        <v>211</v>
      </c>
      <c r="EE72" s="124" t="s">
        <v>211</v>
      </c>
      <c r="EF72" s="124" t="s">
        <v>211</v>
      </c>
      <c r="EG72" s="122" t="s">
        <v>211</v>
      </c>
      <c r="EH72" s="122" t="s">
        <v>211</v>
      </c>
      <c r="EI72" s="124" t="s">
        <v>211</v>
      </c>
      <c r="EJ72" s="124" t="s">
        <v>211</v>
      </c>
      <c r="EK72" s="122" t="s">
        <v>211</v>
      </c>
      <c r="EL72" s="122" t="s">
        <v>211</v>
      </c>
      <c r="EM72" s="123">
        <v>0.21428571428571427</v>
      </c>
      <c r="EN72" s="123">
        <v>1</v>
      </c>
      <c r="EO72" s="122">
        <v>0.1</v>
      </c>
      <c r="EP72" s="122">
        <v>1</v>
      </c>
      <c r="EQ72" s="123">
        <v>0.2</v>
      </c>
      <c r="ER72" s="123">
        <v>0.5</v>
      </c>
      <c r="ES72" s="122">
        <v>0.286</v>
      </c>
      <c r="ET72" s="122">
        <v>0.667</v>
      </c>
      <c r="EU72" s="123">
        <v>0.75</v>
      </c>
      <c r="EV72" s="123">
        <v>1</v>
      </c>
      <c r="EW72" s="122">
        <v>0.5</v>
      </c>
      <c r="EX72" s="122">
        <v>1</v>
      </c>
      <c r="EY72" s="123">
        <v>0.25</v>
      </c>
      <c r="EZ72" s="123">
        <v>1</v>
      </c>
      <c r="FA72" s="122">
        <v>0.214</v>
      </c>
      <c r="FB72" s="122">
        <v>0.75</v>
      </c>
      <c r="FC72" s="124">
        <v>0.357</v>
      </c>
      <c r="FD72" s="124">
        <v>0.714</v>
      </c>
      <c r="FE72" s="122">
        <v>0.182</v>
      </c>
      <c r="FF72" s="122">
        <v>0.333</v>
      </c>
      <c r="FG72" s="132" t="s">
        <v>211</v>
      </c>
      <c r="FH72" s="132" t="s">
        <v>211</v>
      </c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58" customFormat="1" ht="12.75">
      <c r="A73" s="47" t="s">
        <v>27</v>
      </c>
      <c r="B73" s="47" t="s">
        <v>311</v>
      </c>
      <c r="C73" s="39" t="s">
        <v>6</v>
      </c>
      <c r="D73" s="39"/>
      <c r="E73" s="39"/>
      <c r="F73" s="48" t="s">
        <v>424</v>
      </c>
      <c r="G73" s="10" t="s">
        <v>318</v>
      </c>
      <c r="H73" s="10"/>
      <c r="I73" s="10"/>
      <c r="J73" s="10"/>
      <c r="K73" s="61"/>
      <c r="L73" s="75"/>
      <c r="M73" s="83"/>
      <c r="N73" s="62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7"/>
      <c r="AL73" s="76"/>
      <c r="AM73" s="76"/>
      <c r="AN73" s="95"/>
      <c r="AO73" s="86"/>
      <c r="AP73" s="96"/>
      <c r="AQ73" s="81"/>
      <c r="AR73" s="96"/>
      <c r="AS73" s="96"/>
      <c r="AT73" s="96"/>
      <c r="AU73" s="96"/>
      <c r="AV73" s="96"/>
      <c r="AW73" s="98"/>
      <c r="AX73" s="98"/>
      <c r="AY73" s="98"/>
      <c r="AZ73" s="99"/>
      <c r="BA73" s="99"/>
      <c r="BB73" s="99"/>
      <c r="BC73" s="50"/>
      <c r="BD73" s="50"/>
      <c r="BE73" s="50"/>
      <c r="BF73" s="50"/>
      <c r="BG73" s="54"/>
      <c r="BH73" s="54"/>
      <c r="BI73" s="54"/>
      <c r="BJ73" s="54"/>
      <c r="BK73" s="24"/>
      <c r="BL73" s="55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78"/>
      <c r="BX73" s="78"/>
      <c r="BY73" s="78"/>
      <c r="BZ73" s="78"/>
      <c r="CA73" s="78"/>
      <c r="CB73" s="78"/>
      <c r="CC73" s="78"/>
      <c r="CD73" s="78"/>
      <c r="CE73" s="78"/>
      <c r="CF73" s="54"/>
      <c r="CG73" s="54"/>
      <c r="CH73" s="54"/>
      <c r="CI73" s="54"/>
      <c r="CJ73" s="54"/>
      <c r="CK73" s="61"/>
      <c r="CL73" s="61"/>
      <c r="CM73" s="61"/>
      <c r="CN73" s="61"/>
      <c r="CO73" s="61"/>
      <c r="CP73" s="61">
        <v>9</v>
      </c>
      <c r="CQ73" s="61">
        <v>22</v>
      </c>
      <c r="CR73" s="55"/>
      <c r="CS73" s="55"/>
      <c r="CT73" s="55"/>
      <c r="CU73" s="55"/>
      <c r="CV73" s="55"/>
      <c r="CW73" s="64"/>
      <c r="CX73" s="64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66"/>
      <c r="DN73" s="55"/>
      <c r="DO73" s="66"/>
      <c r="DP73" s="55"/>
      <c r="DQ73" s="130"/>
      <c r="DR73" s="130"/>
      <c r="DS73" s="130"/>
      <c r="DT73" s="130"/>
      <c r="DU73" s="130"/>
      <c r="DV73" s="130"/>
      <c r="DW73" s="130"/>
      <c r="DX73" s="130"/>
      <c r="DY73" s="122"/>
      <c r="DZ73" s="122"/>
      <c r="EA73" s="124"/>
      <c r="EB73" s="124"/>
      <c r="EC73" s="122"/>
      <c r="ED73" s="122"/>
      <c r="EE73" s="124"/>
      <c r="EF73" s="124"/>
      <c r="EG73" s="122"/>
      <c r="EH73" s="122"/>
      <c r="EI73" s="123"/>
      <c r="EJ73" s="123"/>
      <c r="EK73" s="122"/>
      <c r="EL73" s="122"/>
      <c r="EM73" s="123"/>
      <c r="EN73" s="123"/>
      <c r="EO73" s="122"/>
      <c r="EP73" s="122"/>
      <c r="EQ73" s="123"/>
      <c r="ER73" s="123"/>
      <c r="ES73" s="122"/>
      <c r="ET73" s="122"/>
      <c r="EU73" s="123"/>
      <c r="EV73" s="123"/>
      <c r="EW73" s="122"/>
      <c r="EX73" s="122"/>
      <c r="EY73" s="124"/>
      <c r="EZ73" s="124"/>
      <c r="FA73" s="122"/>
      <c r="FB73" s="122"/>
      <c r="FC73" s="132"/>
      <c r="FD73" s="132"/>
      <c r="FE73" s="122"/>
      <c r="FF73" s="122"/>
      <c r="FG73" s="132"/>
      <c r="FH73" s="132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58" customFormat="1" ht="12.75">
      <c r="A74" s="47" t="s">
        <v>27</v>
      </c>
      <c r="B74" s="47" t="s">
        <v>311</v>
      </c>
      <c r="C74" s="39" t="s">
        <v>6</v>
      </c>
      <c r="D74" s="39"/>
      <c r="E74" s="39"/>
      <c r="F74" s="48" t="s">
        <v>425</v>
      </c>
      <c r="G74" s="10" t="s">
        <v>318</v>
      </c>
      <c r="H74" s="10"/>
      <c r="I74" s="10"/>
      <c r="J74" s="10"/>
      <c r="K74" s="61"/>
      <c r="L74" s="75"/>
      <c r="M74" s="83"/>
      <c r="N74" s="62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7"/>
      <c r="AL74" s="76"/>
      <c r="AM74" s="76"/>
      <c r="AN74" s="95"/>
      <c r="AO74" s="86"/>
      <c r="AP74" s="96"/>
      <c r="AQ74" s="81"/>
      <c r="AR74" s="96"/>
      <c r="AS74" s="96"/>
      <c r="AT74" s="96"/>
      <c r="AU74" s="96"/>
      <c r="AV74" s="96"/>
      <c r="AW74" s="98"/>
      <c r="AX74" s="98"/>
      <c r="AY74" s="98"/>
      <c r="AZ74" s="99"/>
      <c r="BA74" s="99"/>
      <c r="BB74" s="99"/>
      <c r="BC74" s="50"/>
      <c r="BD74" s="50"/>
      <c r="BE74" s="50"/>
      <c r="BF74" s="50"/>
      <c r="BG74" s="54"/>
      <c r="BH74" s="54"/>
      <c r="BI74" s="54"/>
      <c r="BJ74" s="54"/>
      <c r="BK74" s="24"/>
      <c r="BL74" s="55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78"/>
      <c r="BX74" s="78"/>
      <c r="BY74" s="78"/>
      <c r="BZ74" s="78"/>
      <c r="CA74" s="78"/>
      <c r="CB74" s="78"/>
      <c r="CC74" s="78"/>
      <c r="CD74" s="78"/>
      <c r="CE74" s="78"/>
      <c r="CF74" s="54"/>
      <c r="CG74" s="54"/>
      <c r="CH74" s="54"/>
      <c r="CI74" s="54"/>
      <c r="CJ74" s="54"/>
      <c r="CK74" s="61"/>
      <c r="CL74" s="61"/>
      <c r="CM74" s="61"/>
      <c r="CN74" s="61"/>
      <c r="CO74" s="61"/>
      <c r="CP74" s="61">
        <v>23</v>
      </c>
      <c r="CQ74" s="61">
        <v>59</v>
      </c>
      <c r="CR74" s="55"/>
      <c r="CS74" s="55"/>
      <c r="CT74" s="55"/>
      <c r="CU74" s="55"/>
      <c r="CV74" s="55"/>
      <c r="CW74" s="64"/>
      <c r="CX74" s="64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66"/>
      <c r="DN74" s="55"/>
      <c r="DO74" s="66"/>
      <c r="DP74" s="55"/>
      <c r="DQ74" s="130"/>
      <c r="DR74" s="130"/>
      <c r="DS74" s="130"/>
      <c r="DT74" s="130"/>
      <c r="DU74" s="130"/>
      <c r="DV74" s="130"/>
      <c r="DW74" s="130"/>
      <c r="DX74" s="130"/>
      <c r="DY74" s="122"/>
      <c r="DZ74" s="122"/>
      <c r="EA74" s="124"/>
      <c r="EB74" s="124"/>
      <c r="EC74" s="122"/>
      <c r="ED74" s="122"/>
      <c r="EE74" s="124"/>
      <c r="EF74" s="124"/>
      <c r="EG74" s="122"/>
      <c r="EH74" s="122"/>
      <c r="EI74" s="123"/>
      <c r="EJ74" s="123"/>
      <c r="EK74" s="122"/>
      <c r="EL74" s="122"/>
      <c r="EM74" s="123"/>
      <c r="EN74" s="123"/>
      <c r="EO74" s="122"/>
      <c r="EP74" s="122"/>
      <c r="EQ74" s="123"/>
      <c r="ER74" s="123"/>
      <c r="ES74" s="122"/>
      <c r="ET74" s="122"/>
      <c r="EU74" s="123"/>
      <c r="EV74" s="123"/>
      <c r="EW74" s="122"/>
      <c r="EX74" s="122"/>
      <c r="EY74" s="124"/>
      <c r="EZ74" s="124"/>
      <c r="FA74" s="122"/>
      <c r="FB74" s="122"/>
      <c r="FC74" s="132"/>
      <c r="FD74" s="132"/>
      <c r="FE74" s="122"/>
      <c r="FF74" s="122"/>
      <c r="FG74" s="132"/>
      <c r="FH74" s="132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58" customFormat="1" ht="12.75">
      <c r="A75" s="47" t="s">
        <v>27</v>
      </c>
      <c r="B75" s="47" t="s">
        <v>311</v>
      </c>
      <c r="C75" s="39" t="s">
        <v>6</v>
      </c>
      <c r="D75" s="39"/>
      <c r="E75" s="39"/>
      <c r="F75" s="48" t="s">
        <v>426</v>
      </c>
      <c r="G75" s="50" t="s">
        <v>321</v>
      </c>
      <c r="H75" s="10"/>
      <c r="I75" s="10"/>
      <c r="J75" s="10"/>
      <c r="K75" s="61"/>
      <c r="L75" s="75"/>
      <c r="M75" s="83"/>
      <c r="N75" s="62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7"/>
      <c r="AL75" s="76"/>
      <c r="AM75" s="76"/>
      <c r="AN75" s="95"/>
      <c r="AO75" s="86"/>
      <c r="AP75" s="96"/>
      <c r="AQ75" s="81"/>
      <c r="AR75" s="96"/>
      <c r="AS75" s="96"/>
      <c r="AT75" s="96"/>
      <c r="AU75" s="96"/>
      <c r="AV75" s="96"/>
      <c r="AW75" s="98"/>
      <c r="AX75" s="98"/>
      <c r="AY75" s="98"/>
      <c r="AZ75" s="99"/>
      <c r="BA75" s="99"/>
      <c r="BB75" s="99"/>
      <c r="BC75" s="50"/>
      <c r="BD75" s="50"/>
      <c r="BE75" s="50"/>
      <c r="BF75" s="50"/>
      <c r="BG75" s="54"/>
      <c r="BH75" s="54"/>
      <c r="BI75" s="54"/>
      <c r="BJ75" s="54"/>
      <c r="BK75" s="24"/>
      <c r="BL75" s="55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78"/>
      <c r="BX75" s="78"/>
      <c r="BY75" s="78"/>
      <c r="BZ75" s="78"/>
      <c r="CA75" s="78"/>
      <c r="CB75" s="78"/>
      <c r="CC75" s="78"/>
      <c r="CD75" s="78"/>
      <c r="CE75" s="78"/>
      <c r="CF75" s="54"/>
      <c r="CG75" s="54"/>
      <c r="CH75" s="54"/>
      <c r="CI75" s="54"/>
      <c r="CJ75" s="54"/>
      <c r="CK75" s="61"/>
      <c r="CL75" s="61"/>
      <c r="CM75" s="61"/>
      <c r="CN75" s="61"/>
      <c r="CO75" s="61"/>
      <c r="CP75" s="61">
        <v>8</v>
      </c>
      <c r="CQ75" s="61">
        <v>12</v>
      </c>
      <c r="CR75" s="55"/>
      <c r="CS75" s="55"/>
      <c r="CT75" s="55"/>
      <c r="CU75" s="55"/>
      <c r="CV75" s="55"/>
      <c r="CW75" s="64"/>
      <c r="CX75" s="64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66"/>
      <c r="DN75" s="55"/>
      <c r="DO75" s="66"/>
      <c r="DP75" s="55"/>
      <c r="DQ75" s="130"/>
      <c r="DR75" s="130"/>
      <c r="DS75" s="130"/>
      <c r="DT75" s="130"/>
      <c r="DU75" s="130"/>
      <c r="DV75" s="130"/>
      <c r="DW75" s="130"/>
      <c r="DX75" s="130"/>
      <c r="DY75" s="122"/>
      <c r="DZ75" s="122"/>
      <c r="EA75" s="124"/>
      <c r="EB75" s="124"/>
      <c r="EC75" s="122"/>
      <c r="ED75" s="122"/>
      <c r="EE75" s="124"/>
      <c r="EF75" s="124"/>
      <c r="EG75" s="122"/>
      <c r="EH75" s="122"/>
      <c r="EI75" s="123"/>
      <c r="EJ75" s="123"/>
      <c r="EK75" s="122"/>
      <c r="EL75" s="122"/>
      <c r="EM75" s="123"/>
      <c r="EN75" s="123"/>
      <c r="EO75" s="122"/>
      <c r="EP75" s="122"/>
      <c r="EQ75" s="123"/>
      <c r="ER75" s="123"/>
      <c r="ES75" s="122"/>
      <c r="ET75" s="122"/>
      <c r="EU75" s="123"/>
      <c r="EV75" s="123"/>
      <c r="EW75" s="122"/>
      <c r="EX75" s="122"/>
      <c r="EY75" s="124"/>
      <c r="EZ75" s="124"/>
      <c r="FA75" s="122"/>
      <c r="FB75" s="122"/>
      <c r="FC75" s="132"/>
      <c r="FD75" s="132"/>
      <c r="FE75" s="122"/>
      <c r="FF75" s="122"/>
      <c r="FG75" s="132"/>
      <c r="FH75" s="132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58" customFormat="1" ht="12.75">
      <c r="A76" s="47" t="s">
        <v>27</v>
      </c>
      <c r="B76" s="47" t="s">
        <v>311</v>
      </c>
      <c r="C76" s="39" t="s">
        <v>6</v>
      </c>
      <c r="D76" s="39">
        <v>7072100014</v>
      </c>
      <c r="E76" s="39">
        <v>752100035</v>
      </c>
      <c r="F76" s="10" t="s">
        <v>289</v>
      </c>
      <c r="G76" s="47" t="s">
        <v>321</v>
      </c>
      <c r="H76" s="10" t="s">
        <v>67</v>
      </c>
      <c r="I76" s="10" t="s">
        <v>163</v>
      </c>
      <c r="J76" s="10" t="s">
        <v>169</v>
      </c>
      <c r="K76" s="61"/>
      <c r="L76" s="9" t="s">
        <v>141</v>
      </c>
      <c r="M76" s="62" t="s">
        <v>21</v>
      </c>
      <c r="N76" s="62" t="s">
        <v>21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50"/>
      <c r="AI76" s="50"/>
      <c r="AJ76" s="50"/>
      <c r="AK76" s="43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4"/>
      <c r="BH76" s="54"/>
      <c r="BI76" s="54"/>
      <c r="BJ76" s="54"/>
      <c r="BK76" s="54"/>
      <c r="BL76" s="54"/>
      <c r="BM76" s="54"/>
      <c r="BN76" s="54"/>
      <c r="BO76" s="62"/>
      <c r="BP76" s="62"/>
      <c r="BQ76" s="62"/>
      <c r="BR76" s="62"/>
      <c r="BS76" s="62"/>
      <c r="BT76" s="62"/>
      <c r="BU76" s="62"/>
      <c r="BV76" s="62"/>
      <c r="BW76" s="54"/>
      <c r="BX76" s="54"/>
      <c r="BY76" s="54"/>
      <c r="BZ76" s="54"/>
      <c r="CA76" s="54"/>
      <c r="CB76" s="54"/>
      <c r="CC76" s="54"/>
      <c r="CD76" s="44"/>
      <c r="CE76" s="54"/>
      <c r="CF76" s="54">
        <v>0</v>
      </c>
      <c r="CG76" s="54">
        <v>17</v>
      </c>
      <c r="CH76" s="54">
        <f>23</f>
        <v>23</v>
      </c>
      <c r="CI76" s="54">
        <v>23</v>
      </c>
      <c r="CJ76" s="54">
        <f>25</f>
        <v>25</v>
      </c>
      <c r="CK76" s="54"/>
      <c r="CL76" s="54">
        <v>35</v>
      </c>
      <c r="CM76" s="54">
        <f>36+0</f>
        <v>36</v>
      </c>
      <c r="CN76" s="54">
        <f>27+0</f>
        <v>27</v>
      </c>
      <c r="CO76" s="54">
        <v>29</v>
      </c>
      <c r="CP76" s="54">
        <v>37</v>
      </c>
      <c r="CQ76" s="54">
        <v>38</v>
      </c>
      <c r="CR76" s="54"/>
      <c r="CS76" s="54"/>
      <c r="CT76" s="55"/>
      <c r="CU76" s="55"/>
      <c r="CV76" s="55"/>
      <c r="CW76" s="64"/>
      <c r="CX76" s="64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47"/>
      <c r="EL76" s="47"/>
      <c r="EM76" s="120"/>
      <c r="EN76" s="12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122"/>
      <c r="FF76" s="122"/>
      <c r="FG76" s="50"/>
      <c r="FH76" s="50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58" customFormat="1" ht="12.75">
      <c r="A77" s="47" t="s">
        <v>27</v>
      </c>
      <c r="B77" s="47" t="s">
        <v>311</v>
      </c>
      <c r="C77" s="39" t="s">
        <v>6</v>
      </c>
      <c r="D77" s="39">
        <v>8081100030</v>
      </c>
      <c r="E77" s="39">
        <v>862100004</v>
      </c>
      <c r="F77" s="26" t="s">
        <v>229</v>
      </c>
      <c r="G77" s="50" t="s">
        <v>319</v>
      </c>
      <c r="H77" s="26"/>
      <c r="I77" s="26"/>
      <c r="J77" s="26"/>
      <c r="K77" s="61"/>
      <c r="L77" s="9" t="s">
        <v>141</v>
      </c>
      <c r="M77" s="62" t="s">
        <v>21</v>
      </c>
      <c r="N77" s="62" t="s">
        <v>21</v>
      </c>
      <c r="O77" s="26"/>
      <c r="P77" s="26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41"/>
      <c r="AE77" s="41"/>
      <c r="AF77" s="41"/>
      <c r="AG77" s="41"/>
      <c r="AH77" s="50"/>
      <c r="AI77" s="50"/>
      <c r="AJ77" s="50"/>
      <c r="AK77" s="43"/>
      <c r="AL77" s="50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50"/>
      <c r="BD77" s="50"/>
      <c r="BE77" s="50"/>
      <c r="BF77" s="50"/>
      <c r="BG77" s="47"/>
      <c r="BH77" s="50"/>
      <c r="BI77" s="50"/>
      <c r="BJ77" s="50"/>
      <c r="BK77" s="50"/>
      <c r="BL77" s="50"/>
      <c r="BM77" s="50"/>
      <c r="BN77" s="50"/>
      <c r="BO77" s="62"/>
      <c r="BP77" s="62"/>
      <c r="BQ77" s="62"/>
      <c r="BR77" s="62"/>
      <c r="BS77" s="62"/>
      <c r="BT77" s="62"/>
      <c r="BU77" s="62"/>
      <c r="BV77" s="62"/>
      <c r="BW77" s="47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>
        <v>5</v>
      </c>
      <c r="CM77" s="54">
        <f>6+4</f>
        <v>10</v>
      </c>
      <c r="CN77" s="54">
        <f>9+2</f>
        <v>11</v>
      </c>
      <c r="CO77" s="54">
        <f>10+6</f>
        <v>16</v>
      </c>
      <c r="CP77" s="54">
        <v>23</v>
      </c>
      <c r="CQ77" s="54">
        <v>20</v>
      </c>
      <c r="CR77" s="54"/>
      <c r="CS77" s="54"/>
      <c r="CT77" s="50"/>
      <c r="CU77" s="50"/>
      <c r="CV77" s="55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5"/>
      <c r="DM77" s="55"/>
      <c r="DN77" s="55"/>
      <c r="DO77" s="55"/>
      <c r="DP77" s="55"/>
      <c r="DQ77" s="50"/>
      <c r="DR77" s="50"/>
      <c r="DS77" s="50"/>
      <c r="DT77" s="50"/>
      <c r="DU77" s="50"/>
      <c r="DV77" s="50"/>
      <c r="DW77" s="55"/>
      <c r="DX77" s="55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0"/>
      <c r="EL77" s="12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122"/>
      <c r="FF77" s="122"/>
      <c r="FG77" s="50"/>
      <c r="FH77" s="50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256" s="12" customFormat="1" ht="12.75">
      <c r="A78" s="47" t="s">
        <v>26</v>
      </c>
      <c r="B78" s="47" t="s">
        <v>312</v>
      </c>
      <c r="C78" s="39" t="s">
        <v>7</v>
      </c>
      <c r="D78" s="39">
        <v>5071700019</v>
      </c>
      <c r="E78" s="39">
        <v>551100030</v>
      </c>
      <c r="F78" s="26" t="s">
        <v>84</v>
      </c>
      <c r="G78" s="10" t="s">
        <v>318</v>
      </c>
      <c r="H78" s="10" t="s">
        <v>67</v>
      </c>
      <c r="I78" s="10" t="s">
        <v>163</v>
      </c>
      <c r="J78" s="10" t="s">
        <v>169</v>
      </c>
      <c r="K78" s="61">
        <v>1</v>
      </c>
      <c r="L78" s="75" t="s">
        <v>21</v>
      </c>
      <c r="M78" s="62" t="s">
        <v>21</v>
      </c>
      <c r="N78" s="62"/>
      <c r="O78" s="62">
        <v>0.0196</v>
      </c>
      <c r="P78" s="62">
        <v>0.2672</v>
      </c>
      <c r="Q78" s="60">
        <v>0.1449</v>
      </c>
      <c r="R78" s="60">
        <v>0.2282</v>
      </c>
      <c r="S78" s="60">
        <v>0.1818</v>
      </c>
      <c r="T78" s="60">
        <v>0.2974683544303797</v>
      </c>
      <c r="U78" s="60">
        <v>0.23529411764705882</v>
      </c>
      <c r="V78" s="60">
        <v>0.0985</v>
      </c>
      <c r="W78" s="60">
        <v>0.4</v>
      </c>
      <c r="X78" s="62">
        <v>0.45649999999999996</v>
      </c>
      <c r="Y78" s="62">
        <v>0.2642</v>
      </c>
      <c r="Z78" s="62">
        <v>0.5143</v>
      </c>
      <c r="AA78" s="62">
        <v>0.2897196261682243</v>
      </c>
      <c r="AB78" s="62">
        <v>0.4444</v>
      </c>
      <c r="AC78" s="62">
        <v>0.2338</v>
      </c>
      <c r="AD78" s="62">
        <v>0.5505</v>
      </c>
      <c r="AE78" s="62">
        <v>0.1915</v>
      </c>
      <c r="AF78" s="62">
        <v>0.52</v>
      </c>
      <c r="AG78" s="62">
        <v>0.4568</v>
      </c>
      <c r="AH78" s="62">
        <v>0.4362</v>
      </c>
      <c r="AI78" s="62">
        <v>0.2245</v>
      </c>
      <c r="AJ78" s="62">
        <v>0.34831460674157305</v>
      </c>
      <c r="AK78" s="80">
        <v>0.4471</v>
      </c>
      <c r="AL78" s="62">
        <v>0.53</v>
      </c>
      <c r="AM78" s="62">
        <v>0.30303030303030304</v>
      </c>
      <c r="AN78" s="62">
        <v>0.6263736263736264</v>
      </c>
      <c r="AO78" s="62">
        <v>0.417910447761194</v>
      </c>
      <c r="AP78" s="81">
        <v>0.3789</v>
      </c>
      <c r="AQ78" s="81">
        <v>0.28205128205128205</v>
      </c>
      <c r="AR78" s="81">
        <v>0.3431372549019608</v>
      </c>
      <c r="AS78" s="81">
        <v>0.4020618556701031</v>
      </c>
      <c r="AT78" s="81">
        <v>0.49382716049382713</v>
      </c>
      <c r="AU78" s="81">
        <v>0.4380952380952381</v>
      </c>
      <c r="AV78" s="81">
        <v>0.3229166666666667</v>
      </c>
      <c r="AW78" s="81">
        <v>0.3636</v>
      </c>
      <c r="AX78" s="81">
        <v>0.4318</v>
      </c>
      <c r="AY78" s="81">
        <v>0.2913</v>
      </c>
      <c r="AZ78" s="81">
        <v>0.5</v>
      </c>
      <c r="BA78" s="81">
        <v>0.35714285714285715</v>
      </c>
      <c r="BB78" s="81">
        <v>0.4264</v>
      </c>
      <c r="BC78" s="60">
        <f>AVERAGE(O78:P78)</f>
        <v>0.1434</v>
      </c>
      <c r="BD78" s="60">
        <f>AVERAGE(Q78:R78)</f>
        <v>0.18655</v>
      </c>
      <c r="BE78" s="60">
        <f>AVERAGE(S78:T78)</f>
        <v>0.23963417721518987</v>
      </c>
      <c r="BF78" s="60">
        <f>AVERAGE(U78:V78)</f>
        <v>0.1668970588235294</v>
      </c>
      <c r="BG78" s="62">
        <f>AVERAGE(W78:X78)</f>
        <v>0.42825</v>
      </c>
      <c r="BH78" s="62">
        <f>(Z78+Y78)/2</f>
        <v>0.38925</v>
      </c>
      <c r="BI78" s="62">
        <f>AVERAGE(AA78:AB78)</f>
        <v>0.3670598130841122</v>
      </c>
      <c r="BJ78" s="62">
        <f>AVERAGE(AC78:AD78)</f>
        <v>0.39215</v>
      </c>
      <c r="BK78" s="62">
        <f>AVERAGE(AE78:AF78)</f>
        <v>0.35575</v>
      </c>
      <c r="BL78" s="62">
        <f>AVERAGE(AG78:AH78)</f>
        <v>0.4465</v>
      </c>
      <c r="BM78" s="62">
        <f>AVERAGE(AI78:AJ78)</f>
        <v>0.2864073033707865</v>
      </c>
      <c r="BN78" s="62">
        <f>AVERAGE(AK78:AL78)</f>
        <v>0.48855000000000004</v>
      </c>
      <c r="BO78" s="62">
        <f aca="true" t="shared" si="22" ref="BO78:BT82">AVERAGE(AM78:AN78)</f>
        <v>0.4647019647019647</v>
      </c>
      <c r="BP78" s="62">
        <f t="shared" si="22"/>
        <v>0.5221420370674101</v>
      </c>
      <c r="BQ78" s="62">
        <f t="shared" si="22"/>
        <v>0.398405223880597</v>
      </c>
      <c r="BR78" s="62">
        <f t="shared" si="22"/>
        <v>0.33047564102564103</v>
      </c>
      <c r="BS78" s="62">
        <f t="shared" si="22"/>
        <v>0.3125942684766214</v>
      </c>
      <c r="BT78" s="62">
        <f t="shared" si="22"/>
        <v>0.37259955528603195</v>
      </c>
      <c r="BU78" s="62">
        <f>AVERAGE(AY78:AZ78)</f>
        <v>0.39565</v>
      </c>
      <c r="BV78" s="62"/>
      <c r="BW78" s="61">
        <v>679</v>
      </c>
      <c r="BX78" s="54">
        <v>696</v>
      </c>
      <c r="BY78" s="54">
        <v>730</v>
      </c>
      <c r="BZ78" s="54">
        <v>768</v>
      </c>
      <c r="CA78" s="54">
        <v>800</v>
      </c>
      <c r="CB78" s="54">
        <v>752</v>
      </c>
      <c r="CC78" s="54">
        <v>801</v>
      </c>
      <c r="CD78" s="44">
        <v>792</v>
      </c>
      <c r="CE78" s="54">
        <v>766</v>
      </c>
      <c r="CF78" s="54">
        <v>746</v>
      </c>
      <c r="CG78" s="54">
        <f>650+78</f>
        <v>728</v>
      </c>
      <c r="CH78" s="54">
        <f>667+94</f>
        <v>761</v>
      </c>
      <c r="CI78" s="54">
        <f>652+105</f>
        <v>757</v>
      </c>
      <c r="CJ78" s="54">
        <f>650+100</f>
        <v>750</v>
      </c>
      <c r="CK78" s="54">
        <f>635+104</f>
        <v>739</v>
      </c>
      <c r="CL78" s="54">
        <f>637+124</f>
        <v>761</v>
      </c>
      <c r="CM78" s="54">
        <f>686+160</f>
        <v>846</v>
      </c>
      <c r="CN78" s="54">
        <f>789+144</f>
        <v>933</v>
      </c>
      <c r="CO78" s="54">
        <f>791+139</f>
        <v>930</v>
      </c>
      <c r="CP78" s="54">
        <v>982</v>
      </c>
      <c r="CQ78" s="54">
        <v>878</v>
      </c>
      <c r="CR78" s="55">
        <v>0.61</v>
      </c>
      <c r="CS78" s="55">
        <v>0.85</v>
      </c>
      <c r="CT78" s="55">
        <v>0.89</v>
      </c>
      <c r="CU78" s="55">
        <v>0.85</v>
      </c>
      <c r="CV78" s="55">
        <v>0.85</v>
      </c>
      <c r="CW78" s="64">
        <v>0.89</v>
      </c>
      <c r="CX78" s="64">
        <v>0.88</v>
      </c>
      <c r="CY78" s="55">
        <v>0.68</v>
      </c>
      <c r="CZ78" s="55">
        <v>0.81</v>
      </c>
      <c r="DA78" s="55">
        <v>0.8</v>
      </c>
      <c r="DB78" s="55">
        <v>0.85</v>
      </c>
      <c r="DC78" s="55">
        <v>0.88</v>
      </c>
      <c r="DD78" s="55">
        <v>0.91</v>
      </c>
      <c r="DE78" s="55">
        <v>0.7</v>
      </c>
      <c r="DF78" s="55">
        <v>0.84</v>
      </c>
      <c r="DG78" s="55">
        <v>0.69</v>
      </c>
      <c r="DH78" s="55">
        <v>0.79</v>
      </c>
      <c r="DI78" s="55">
        <v>0.72</v>
      </c>
      <c r="DJ78" s="55">
        <v>0.78</v>
      </c>
      <c r="DK78" s="55">
        <v>0.8380952380952381</v>
      </c>
      <c r="DL78" s="55">
        <v>0.76</v>
      </c>
      <c r="DM78" s="55">
        <v>0.66</v>
      </c>
      <c r="DN78" s="55">
        <v>0.81</v>
      </c>
      <c r="DO78" s="55">
        <v>0.6213592233009708</v>
      </c>
      <c r="DP78" s="55">
        <v>0.7604166666666666</v>
      </c>
      <c r="DQ78" s="55">
        <v>0.7589285714285714</v>
      </c>
      <c r="DR78" s="55">
        <v>0.751937984496124</v>
      </c>
      <c r="DS78" s="55">
        <v>0.62</v>
      </c>
      <c r="DT78" s="55">
        <v>0.7</v>
      </c>
      <c r="DU78" s="55">
        <v>0.54</v>
      </c>
      <c r="DV78" s="55">
        <v>0.84</v>
      </c>
      <c r="DW78" s="55">
        <v>0.6917293233082706</v>
      </c>
      <c r="DX78" s="55">
        <v>0.84</v>
      </c>
      <c r="DY78" s="122">
        <v>0.449</v>
      </c>
      <c r="DZ78" s="122">
        <v>0.957</v>
      </c>
      <c r="EA78" s="124">
        <v>0.562</v>
      </c>
      <c r="EB78" s="124">
        <v>1</v>
      </c>
      <c r="EC78" s="122">
        <v>0.624</v>
      </c>
      <c r="ED78" s="122">
        <v>1</v>
      </c>
      <c r="EE78" s="124">
        <v>0.7</v>
      </c>
      <c r="EF78" s="124">
        <v>0.986</v>
      </c>
      <c r="EG78" s="122">
        <v>0.561</v>
      </c>
      <c r="EH78" s="122">
        <v>1</v>
      </c>
      <c r="EI78" s="124">
        <v>0.714</v>
      </c>
      <c r="EJ78" s="124">
        <v>0.926</v>
      </c>
      <c r="EK78" s="122">
        <v>0.507</v>
      </c>
      <c r="EL78" s="122">
        <v>1</v>
      </c>
      <c r="EM78" s="124">
        <v>0.516</v>
      </c>
      <c r="EN78" s="124">
        <v>1</v>
      </c>
      <c r="EO78" s="122">
        <v>0.385</v>
      </c>
      <c r="EP78" s="122">
        <v>1</v>
      </c>
      <c r="EQ78" s="124">
        <v>0.444</v>
      </c>
      <c r="ER78" s="124">
        <v>1</v>
      </c>
      <c r="ES78" s="122">
        <v>0.474</v>
      </c>
      <c r="ET78" s="122">
        <v>1</v>
      </c>
      <c r="EU78" s="124">
        <v>0.519</v>
      </c>
      <c r="EV78" s="124">
        <v>0.685</v>
      </c>
      <c r="EW78" s="122">
        <v>0.41</v>
      </c>
      <c r="EX78" s="122">
        <v>0.683</v>
      </c>
      <c r="EY78" s="124">
        <v>0.49</v>
      </c>
      <c r="EZ78" s="124">
        <v>0.87</v>
      </c>
      <c r="FA78" s="122">
        <v>0.414</v>
      </c>
      <c r="FB78" s="122">
        <v>0.804</v>
      </c>
      <c r="FC78" s="124">
        <v>0.489</v>
      </c>
      <c r="FD78" s="124">
        <v>0.729</v>
      </c>
      <c r="FE78" s="122">
        <v>0.194</v>
      </c>
      <c r="FF78" s="122">
        <v>0.385</v>
      </c>
      <c r="FG78" s="124">
        <v>0.365</v>
      </c>
      <c r="FH78" s="124">
        <v>0.565</v>
      </c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pans="1:256" s="12" customFormat="1" ht="12.75">
      <c r="A79" s="47" t="s">
        <v>26</v>
      </c>
      <c r="B79" s="47" t="s">
        <v>312</v>
      </c>
      <c r="C79" s="39" t="s">
        <v>7</v>
      </c>
      <c r="D79" s="39">
        <v>5061300025</v>
      </c>
      <c r="E79" s="39">
        <v>544100087</v>
      </c>
      <c r="F79" s="34" t="s">
        <v>85</v>
      </c>
      <c r="G79" s="10" t="s">
        <v>318</v>
      </c>
      <c r="H79" s="10" t="s">
        <v>66</v>
      </c>
      <c r="I79" s="10" t="s">
        <v>175</v>
      </c>
      <c r="J79" s="10" t="s">
        <v>169</v>
      </c>
      <c r="K79" s="61"/>
      <c r="L79" s="75"/>
      <c r="M79" s="83"/>
      <c r="N79" s="62"/>
      <c r="O79" s="62">
        <v>0.3205</v>
      </c>
      <c r="P79" s="62">
        <v>0.3476</v>
      </c>
      <c r="Q79" s="60">
        <v>0.1515</v>
      </c>
      <c r="R79" s="60">
        <v>0.4259</v>
      </c>
      <c r="S79" s="60">
        <v>0.1835</v>
      </c>
      <c r="T79" s="60">
        <v>0.2462</v>
      </c>
      <c r="U79" s="60">
        <v>0.30687830687830686</v>
      </c>
      <c r="V79" s="60">
        <v>0.3344594594594595</v>
      </c>
      <c r="W79" s="60">
        <v>0.2303</v>
      </c>
      <c r="X79" s="62">
        <v>0.33659999999999995</v>
      </c>
      <c r="Y79" s="62">
        <v>0.1868</v>
      </c>
      <c r="Z79" s="62">
        <v>0.319</v>
      </c>
      <c r="AA79" s="62">
        <v>0.1987179487179487</v>
      </c>
      <c r="AB79" s="62">
        <v>0.391</v>
      </c>
      <c r="AC79" s="62">
        <v>0.27564102564102566</v>
      </c>
      <c r="AD79" s="62">
        <v>0.3901</v>
      </c>
      <c r="AE79" s="62">
        <v>0.183</v>
      </c>
      <c r="AF79" s="62">
        <v>0.3922</v>
      </c>
      <c r="AG79" s="62">
        <v>0.2479</v>
      </c>
      <c r="AH79" s="62">
        <v>0.4586</v>
      </c>
      <c r="AI79" s="62">
        <v>0.22058823529411764</v>
      </c>
      <c r="AJ79" s="62">
        <v>0.37410071942446044</v>
      </c>
      <c r="AK79" s="80">
        <v>0.246</v>
      </c>
      <c r="AL79" s="62">
        <v>0.4275</v>
      </c>
      <c r="AM79" s="62">
        <v>0.18518518518518517</v>
      </c>
      <c r="AN79" s="62">
        <v>0.42748091603053434</v>
      </c>
      <c r="AO79" s="62">
        <v>0.336283185840708</v>
      </c>
      <c r="AP79" s="81">
        <v>0.3889</v>
      </c>
      <c r="AQ79" s="81">
        <v>0.22794117647058823</v>
      </c>
      <c r="AR79" s="81">
        <v>0.40601503759398494</v>
      </c>
      <c r="AS79" s="81">
        <v>0.2878787878787879</v>
      </c>
      <c r="AT79" s="81">
        <v>0.5347222222222222</v>
      </c>
      <c r="AU79" s="84"/>
      <c r="AV79" s="84"/>
      <c r="AW79" s="84"/>
      <c r="AX79" s="84"/>
      <c r="AY79" s="84"/>
      <c r="AZ79" s="84"/>
      <c r="BA79" s="84"/>
      <c r="BB79" s="84"/>
      <c r="BC79" s="60">
        <f>AVERAGE(O79:P79)</f>
        <v>0.33405</v>
      </c>
      <c r="BD79" s="60">
        <f>AVERAGE(Q79:R79)</f>
        <v>0.2887</v>
      </c>
      <c r="BE79" s="60">
        <f>AVERAGE(S79:T79)</f>
        <v>0.21484999999999999</v>
      </c>
      <c r="BF79" s="60">
        <f>AVERAGE(U79:V79)</f>
        <v>0.3206688831688832</v>
      </c>
      <c r="BG79" s="62">
        <f>AVERAGE(W79:X79)</f>
        <v>0.28345</v>
      </c>
      <c r="BH79" s="62">
        <f>(Z79+Y79)/2</f>
        <v>0.2529</v>
      </c>
      <c r="BI79" s="62">
        <f>AVERAGE(AA79:AB79)</f>
        <v>0.29485897435897435</v>
      </c>
      <c r="BJ79" s="62">
        <f>AVERAGE(AC79:AD79)</f>
        <v>0.33287051282051283</v>
      </c>
      <c r="BK79" s="62">
        <f>AVERAGE(AE79:AF79)</f>
        <v>0.28759999999999997</v>
      </c>
      <c r="BL79" s="62">
        <f>AVERAGE(AG79:AH79)</f>
        <v>0.35325</v>
      </c>
      <c r="BM79" s="62">
        <f>AVERAGE(AI79:AJ79)</f>
        <v>0.29734447735928904</v>
      </c>
      <c r="BN79" s="62">
        <f>AVERAGE(AK79:AL79)</f>
        <v>0.33675</v>
      </c>
      <c r="BO79" s="62">
        <f t="shared" si="22"/>
        <v>0.30633305060785976</v>
      </c>
      <c r="BP79" s="62">
        <f t="shared" si="22"/>
        <v>0.38188205093562116</v>
      </c>
      <c r="BQ79" s="62">
        <f t="shared" si="22"/>
        <v>0.36259159292035403</v>
      </c>
      <c r="BR79" s="62">
        <f t="shared" si="22"/>
        <v>0.3084205882352941</v>
      </c>
      <c r="BS79" s="62">
        <f t="shared" si="22"/>
        <v>0.31697810703228657</v>
      </c>
      <c r="BT79" s="62">
        <f t="shared" si="22"/>
        <v>0.34694691273638645</v>
      </c>
      <c r="BU79" s="62"/>
      <c r="BV79" s="62"/>
      <c r="BW79" s="61">
        <v>921</v>
      </c>
      <c r="BX79" s="54">
        <v>1139</v>
      </c>
      <c r="BY79" s="54">
        <v>1181</v>
      </c>
      <c r="BZ79" s="54">
        <v>1137</v>
      </c>
      <c r="CA79" s="54">
        <v>1087</v>
      </c>
      <c r="CB79" s="54">
        <v>1013</v>
      </c>
      <c r="CC79" s="54">
        <v>993</v>
      </c>
      <c r="CD79" s="44">
        <v>920</v>
      </c>
      <c r="CE79" s="54">
        <v>846</v>
      </c>
      <c r="CF79" s="54">
        <v>823</v>
      </c>
      <c r="CG79" s="54">
        <f>696+139</f>
        <v>835</v>
      </c>
      <c r="CH79" s="54">
        <f>716+131</f>
        <v>847</v>
      </c>
      <c r="CI79" s="54">
        <v>757</v>
      </c>
      <c r="CJ79" s="54">
        <v>568</v>
      </c>
      <c r="CK79" s="54">
        <f>418+0</f>
        <v>418</v>
      </c>
      <c r="CL79" s="54">
        <v>265</v>
      </c>
      <c r="CM79" s="54">
        <f>106+0</f>
        <v>106</v>
      </c>
      <c r="CN79" s="54">
        <f>0+1</f>
        <v>1</v>
      </c>
      <c r="CO79" s="54"/>
      <c r="CP79" s="54"/>
      <c r="CQ79" s="54"/>
      <c r="CR79" s="55">
        <v>0.54</v>
      </c>
      <c r="CS79" s="55">
        <v>0.45</v>
      </c>
      <c r="CT79" s="55">
        <v>0.71</v>
      </c>
      <c r="CU79" s="55">
        <v>0.62</v>
      </c>
      <c r="CV79" s="55">
        <v>0.65</v>
      </c>
      <c r="CW79" s="64">
        <v>0.6</v>
      </c>
      <c r="CX79" s="64">
        <v>0.64</v>
      </c>
      <c r="CY79" s="55">
        <v>0.4</v>
      </c>
      <c r="CZ79" s="55">
        <v>0.62</v>
      </c>
      <c r="DA79" s="55">
        <v>0.44</v>
      </c>
      <c r="DB79" s="55">
        <v>0.65</v>
      </c>
      <c r="DC79" s="55">
        <v>0.47</v>
      </c>
      <c r="DD79" s="55">
        <v>0.6</v>
      </c>
      <c r="DE79" s="55">
        <v>0.52</v>
      </c>
      <c r="DF79" s="55">
        <v>0.78</v>
      </c>
      <c r="DG79" s="55">
        <v>0.55</v>
      </c>
      <c r="DH79" s="55">
        <v>0.71</v>
      </c>
      <c r="DI79" s="55">
        <v>0.48</v>
      </c>
      <c r="DJ79" s="55">
        <v>0.69</v>
      </c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22">
        <v>0.468</v>
      </c>
      <c r="DZ79" s="122">
        <v>0.97</v>
      </c>
      <c r="EA79" s="124">
        <v>0.294</v>
      </c>
      <c r="EB79" s="124">
        <v>0.902</v>
      </c>
      <c r="EC79" s="122">
        <v>0.519</v>
      </c>
      <c r="ED79" s="122">
        <v>0.986</v>
      </c>
      <c r="EE79" s="124">
        <v>0.324</v>
      </c>
      <c r="EF79" s="124">
        <v>0.972</v>
      </c>
      <c r="EG79" s="122">
        <v>0.504</v>
      </c>
      <c r="EH79" s="122">
        <v>0.971</v>
      </c>
      <c r="EI79" s="124">
        <v>0.407</v>
      </c>
      <c r="EJ79" s="124">
        <v>0.958</v>
      </c>
      <c r="EK79" s="122">
        <v>0.535</v>
      </c>
      <c r="EL79" s="122">
        <v>1</v>
      </c>
      <c r="EM79" s="124">
        <v>0.397</v>
      </c>
      <c r="EN79" s="124">
        <v>0.982</v>
      </c>
      <c r="EO79" s="122">
        <v>0.549</v>
      </c>
      <c r="EP79" s="122">
        <v>0.986</v>
      </c>
      <c r="EQ79" s="124">
        <v>0.364</v>
      </c>
      <c r="ER79" s="124">
        <v>0.96</v>
      </c>
      <c r="ES79" s="133">
        <v>0.507</v>
      </c>
      <c r="ET79" s="133">
        <v>0.948</v>
      </c>
      <c r="EU79" s="132" t="s">
        <v>211</v>
      </c>
      <c r="EV79" s="132" t="s">
        <v>211</v>
      </c>
      <c r="EW79" s="131" t="s">
        <v>211</v>
      </c>
      <c r="EX79" s="131" t="s">
        <v>211</v>
      </c>
      <c r="EY79" s="132" t="s">
        <v>211</v>
      </c>
      <c r="EZ79" s="132" t="s">
        <v>211</v>
      </c>
      <c r="FA79" s="131" t="s">
        <v>211</v>
      </c>
      <c r="FB79" s="131" t="s">
        <v>211</v>
      </c>
      <c r="FC79" s="132" t="s">
        <v>211</v>
      </c>
      <c r="FD79" s="132" t="s">
        <v>211</v>
      </c>
      <c r="FE79" s="131" t="s">
        <v>211</v>
      </c>
      <c r="FF79" s="131" t="s">
        <v>211</v>
      </c>
      <c r="FG79" s="132" t="s">
        <v>211</v>
      </c>
      <c r="FH79" s="132" t="s">
        <v>211</v>
      </c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pans="1:256" s="58" customFormat="1" ht="12.75">
      <c r="A80" s="47" t="s">
        <v>26</v>
      </c>
      <c r="B80" s="47" t="s">
        <v>312</v>
      </c>
      <c r="C80" s="39" t="s">
        <v>7</v>
      </c>
      <c r="D80" s="39">
        <v>5052200007</v>
      </c>
      <c r="E80" s="39">
        <v>542200009</v>
      </c>
      <c r="F80" s="26" t="s">
        <v>86</v>
      </c>
      <c r="G80" s="10" t="s">
        <v>318</v>
      </c>
      <c r="H80" s="10" t="s">
        <v>67</v>
      </c>
      <c r="I80" s="10" t="s">
        <v>175</v>
      </c>
      <c r="J80" s="10" t="s">
        <v>171</v>
      </c>
      <c r="K80" s="61">
        <v>1</v>
      </c>
      <c r="L80" s="75" t="s">
        <v>21</v>
      </c>
      <c r="M80" s="62" t="s">
        <v>21</v>
      </c>
      <c r="N80" s="62"/>
      <c r="O80" s="62">
        <v>0.7</v>
      </c>
      <c r="P80" s="62">
        <v>0</v>
      </c>
      <c r="Q80" s="60">
        <v>0.15</v>
      </c>
      <c r="R80" s="60">
        <v>0.3061</v>
      </c>
      <c r="S80" s="60">
        <v>0.0541</v>
      </c>
      <c r="T80" s="60">
        <v>0.1692</v>
      </c>
      <c r="U80" s="60">
        <v>0.2813</v>
      </c>
      <c r="V80" s="60">
        <v>0.1714</v>
      </c>
      <c r="W80" s="60">
        <v>0.16</v>
      </c>
      <c r="X80" s="62">
        <v>0.425</v>
      </c>
      <c r="Y80" s="62">
        <v>0.1212</v>
      </c>
      <c r="Z80" s="62">
        <v>0.3636</v>
      </c>
      <c r="AA80" s="62">
        <v>0.175</v>
      </c>
      <c r="AB80" s="62">
        <v>0.2857</v>
      </c>
      <c r="AC80" s="62">
        <v>0.1515</v>
      </c>
      <c r="AD80" s="62">
        <v>0.2667</v>
      </c>
      <c r="AE80" s="62">
        <v>0.1892</v>
      </c>
      <c r="AF80" s="62">
        <v>0.4194</v>
      </c>
      <c r="AG80" s="62">
        <v>0.0882</v>
      </c>
      <c r="AH80" s="62">
        <v>0.1818</v>
      </c>
      <c r="AI80" s="62">
        <v>0.0625</v>
      </c>
      <c r="AJ80" s="62">
        <v>0.2</v>
      </c>
      <c r="AK80" s="80">
        <v>0.0833</v>
      </c>
      <c r="AL80" s="62">
        <v>0.4444444444444444</v>
      </c>
      <c r="AM80" s="62">
        <v>0.1667</v>
      </c>
      <c r="AN80" s="62">
        <v>0.1724137931034483</v>
      </c>
      <c r="AO80" s="62">
        <v>0</v>
      </c>
      <c r="AP80" s="81">
        <v>0.1429</v>
      </c>
      <c r="AQ80" s="81">
        <v>0.11764705882352941</v>
      </c>
      <c r="AR80" s="81">
        <v>0.17647058823529413</v>
      </c>
      <c r="AS80" s="84"/>
      <c r="AT80" s="81">
        <v>0.15625</v>
      </c>
      <c r="AU80" s="81">
        <v>0.02857142857142857</v>
      </c>
      <c r="AV80" s="81">
        <v>0.23333333333333334</v>
      </c>
      <c r="AW80" s="81">
        <v>0.125</v>
      </c>
      <c r="AX80" s="81">
        <v>0</v>
      </c>
      <c r="AY80" s="81">
        <v>0.1111</v>
      </c>
      <c r="AZ80" s="81">
        <v>0.0732</v>
      </c>
      <c r="BA80" s="81">
        <v>0.06382978723404255</v>
      </c>
      <c r="BB80" s="81">
        <v>0.1857</v>
      </c>
      <c r="BC80" s="60">
        <f>AVERAGE(O80:P80)</f>
        <v>0.35</v>
      </c>
      <c r="BD80" s="60">
        <f>AVERAGE(Q80:R80)</f>
        <v>0.22804999999999997</v>
      </c>
      <c r="BE80" s="60">
        <f>AVERAGE(S80:T80)</f>
        <v>0.11165</v>
      </c>
      <c r="BF80" s="60">
        <f>AVERAGE(U80:V80)</f>
        <v>0.22635</v>
      </c>
      <c r="BG80" s="62">
        <f>AVERAGE(W80:X80)</f>
        <v>0.2925</v>
      </c>
      <c r="BH80" s="62">
        <f>(Z80+Y80)/2</f>
        <v>0.2424</v>
      </c>
      <c r="BI80" s="62">
        <f>AVERAGE(AA80:AB80)</f>
        <v>0.23035</v>
      </c>
      <c r="BJ80" s="62">
        <f>AVERAGE(AC80:AD80)</f>
        <v>0.2091</v>
      </c>
      <c r="BK80" s="62">
        <f>AVERAGE(AE80:AF80)</f>
        <v>0.3043</v>
      </c>
      <c r="BL80" s="62">
        <f>AVERAGE(AG80:AH80)</f>
        <v>0.135</v>
      </c>
      <c r="BM80" s="62">
        <f>AVERAGE(AI80:AJ80)</f>
        <v>0.13125</v>
      </c>
      <c r="BN80" s="62">
        <f>AVERAGE(AK80:AL80)</f>
        <v>0.26387222222222223</v>
      </c>
      <c r="BO80" s="62">
        <f t="shared" si="22"/>
        <v>0.16955689655172412</v>
      </c>
      <c r="BP80" s="62">
        <f t="shared" si="22"/>
        <v>0.08620689655172414</v>
      </c>
      <c r="BQ80" s="62">
        <f t="shared" si="22"/>
        <v>0.07145</v>
      </c>
      <c r="BR80" s="62">
        <f t="shared" si="22"/>
        <v>0.1302735294117647</v>
      </c>
      <c r="BS80" s="62">
        <f t="shared" si="22"/>
        <v>0.14705882352941177</v>
      </c>
      <c r="BT80" s="62">
        <f t="shared" si="22"/>
        <v>0.17647058823529413</v>
      </c>
      <c r="BU80" s="62">
        <f>AVERAGE(AY80:AZ80)</f>
        <v>0.09215000000000001</v>
      </c>
      <c r="BV80" s="62"/>
      <c r="BW80" s="61">
        <v>210</v>
      </c>
      <c r="BX80" s="54">
        <v>215</v>
      </c>
      <c r="BY80" s="54">
        <v>204</v>
      </c>
      <c r="BZ80" s="54">
        <v>217</v>
      </c>
      <c r="CA80" s="54">
        <v>230</v>
      </c>
      <c r="CB80" s="54">
        <v>240</v>
      </c>
      <c r="CC80" s="65">
        <v>245</v>
      </c>
      <c r="CD80" s="45">
        <v>241</v>
      </c>
      <c r="CE80" s="65">
        <v>241</v>
      </c>
      <c r="CF80" s="65">
        <v>208</v>
      </c>
      <c r="CG80" s="65">
        <f>176+35</f>
        <v>211</v>
      </c>
      <c r="CH80" s="65">
        <f>185+41</f>
        <v>226</v>
      </c>
      <c r="CI80" s="65">
        <f>180+35</f>
        <v>215</v>
      </c>
      <c r="CJ80" s="65">
        <f>180+32</f>
        <v>212</v>
      </c>
      <c r="CK80" s="65">
        <f>175+39</f>
        <v>214</v>
      </c>
      <c r="CL80" s="65">
        <f>192+46</f>
        <v>238</v>
      </c>
      <c r="CM80" s="65">
        <f>230+39</f>
        <v>269</v>
      </c>
      <c r="CN80" s="65">
        <f>267+40</f>
        <v>307</v>
      </c>
      <c r="CO80" s="65">
        <f>284+69</f>
        <v>353</v>
      </c>
      <c r="CP80" s="65">
        <v>442</v>
      </c>
      <c r="CQ80" s="65">
        <v>455</v>
      </c>
      <c r="CR80" s="55">
        <v>0.68</v>
      </c>
      <c r="CS80" s="55">
        <v>0.52</v>
      </c>
      <c r="CT80" s="55">
        <v>0.52</v>
      </c>
      <c r="CU80" s="55">
        <v>0.73</v>
      </c>
      <c r="CV80" s="55">
        <v>0.87</v>
      </c>
      <c r="CW80" s="64">
        <v>0.71</v>
      </c>
      <c r="CX80" s="64">
        <v>0.79</v>
      </c>
      <c r="CY80" s="55">
        <v>0.53</v>
      </c>
      <c r="CZ80" s="55">
        <v>0.66</v>
      </c>
      <c r="DA80" s="55">
        <v>0.58</v>
      </c>
      <c r="DB80" s="55">
        <v>0.81</v>
      </c>
      <c r="DC80" s="55">
        <v>0.4</v>
      </c>
      <c r="DD80" s="55">
        <v>0.76</v>
      </c>
      <c r="DE80" s="55">
        <v>0.43</v>
      </c>
      <c r="DF80" s="55">
        <v>0.71</v>
      </c>
      <c r="DG80" s="55">
        <v>0.59</v>
      </c>
      <c r="DH80" s="55">
        <v>0.76</v>
      </c>
      <c r="DI80" s="55">
        <v>0.42</v>
      </c>
      <c r="DJ80" s="55">
        <v>0.59</v>
      </c>
      <c r="DK80" s="55">
        <v>0.4</v>
      </c>
      <c r="DL80" s="55">
        <v>0.63</v>
      </c>
      <c r="DM80" s="55">
        <v>0.69</v>
      </c>
      <c r="DN80" s="55">
        <v>0.62</v>
      </c>
      <c r="DO80" s="55">
        <v>0.5</v>
      </c>
      <c r="DP80" s="55">
        <v>0.6585365853658537</v>
      </c>
      <c r="DQ80" s="55">
        <v>0.7727272727272727</v>
      </c>
      <c r="DR80" s="55">
        <v>0.5797101449275363</v>
      </c>
      <c r="DS80" s="55">
        <v>0.74</v>
      </c>
      <c r="DT80" s="55">
        <v>0.72</v>
      </c>
      <c r="DU80" s="55">
        <v>0.51</v>
      </c>
      <c r="DV80" s="55">
        <v>0.75</v>
      </c>
      <c r="DW80" s="55">
        <v>0.7424242424242424</v>
      </c>
      <c r="DX80" s="55">
        <v>0.78</v>
      </c>
      <c r="DY80" s="122">
        <v>0.281</v>
      </c>
      <c r="DZ80" s="122">
        <v>1</v>
      </c>
      <c r="EA80" s="124">
        <v>0.371</v>
      </c>
      <c r="EB80" s="124">
        <v>1</v>
      </c>
      <c r="EC80" s="122">
        <v>0.292</v>
      </c>
      <c r="ED80" s="122">
        <v>0.778</v>
      </c>
      <c r="EE80" s="124">
        <v>0.556</v>
      </c>
      <c r="EF80" s="124">
        <v>0.938</v>
      </c>
      <c r="EG80" s="122">
        <v>0.167</v>
      </c>
      <c r="EH80" s="122">
        <v>0.417</v>
      </c>
      <c r="EI80" s="124">
        <v>0.517</v>
      </c>
      <c r="EJ80" s="124">
        <v>0.938</v>
      </c>
      <c r="EK80" s="122">
        <v>0.19</v>
      </c>
      <c r="EL80" s="122">
        <v>1</v>
      </c>
      <c r="EM80" s="124">
        <v>0.393</v>
      </c>
      <c r="EN80" s="124">
        <v>1</v>
      </c>
      <c r="EO80" s="122">
        <v>0.353</v>
      </c>
      <c r="EP80" s="122">
        <v>1</v>
      </c>
      <c r="EQ80" s="124">
        <v>0.469</v>
      </c>
      <c r="ER80" s="124">
        <v>1</v>
      </c>
      <c r="ES80" s="122">
        <v>0.026</v>
      </c>
      <c r="ET80" s="122">
        <v>0.5</v>
      </c>
      <c r="EU80" s="124">
        <v>0.406</v>
      </c>
      <c r="EV80" s="124">
        <v>0.929</v>
      </c>
      <c r="EW80" s="122">
        <v>0.114</v>
      </c>
      <c r="EX80" s="122">
        <v>1</v>
      </c>
      <c r="EY80" s="124">
        <v>0.433</v>
      </c>
      <c r="EZ80" s="124">
        <v>0.929</v>
      </c>
      <c r="FA80" s="122">
        <v>0.313</v>
      </c>
      <c r="FB80" s="122">
        <v>0.714</v>
      </c>
      <c r="FC80" s="124">
        <v>0.207</v>
      </c>
      <c r="FD80" s="124">
        <v>0.6</v>
      </c>
      <c r="FE80" s="122">
        <v>0.111</v>
      </c>
      <c r="FF80" s="122">
        <v>0.667</v>
      </c>
      <c r="FG80" s="124">
        <v>0.171</v>
      </c>
      <c r="FH80" s="124">
        <v>0.438</v>
      </c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pans="1:256" s="58" customFormat="1" ht="12.75">
      <c r="A81" s="47" t="s">
        <v>26</v>
      </c>
      <c r="B81" s="47" t="s">
        <v>312</v>
      </c>
      <c r="C81" s="39" t="s">
        <v>7</v>
      </c>
      <c r="D81" s="39">
        <v>5072400015</v>
      </c>
      <c r="E81" s="39">
        <v>552400005</v>
      </c>
      <c r="F81" s="26" t="s">
        <v>87</v>
      </c>
      <c r="G81" s="10" t="s">
        <v>318</v>
      </c>
      <c r="H81" s="10" t="s">
        <v>67</v>
      </c>
      <c r="I81" s="10" t="s">
        <v>163</v>
      </c>
      <c r="J81" s="10" t="s">
        <v>171</v>
      </c>
      <c r="K81" s="61">
        <v>1</v>
      </c>
      <c r="L81" s="75" t="s">
        <v>22</v>
      </c>
      <c r="M81" s="62" t="s">
        <v>21</v>
      </c>
      <c r="N81" s="62"/>
      <c r="O81" s="62">
        <v>0.3333</v>
      </c>
      <c r="P81" s="62">
        <v>0</v>
      </c>
      <c r="Q81" s="60">
        <v>0.1429</v>
      </c>
      <c r="R81" s="60">
        <v>0.6667</v>
      </c>
      <c r="S81" s="60">
        <v>0</v>
      </c>
      <c r="T81" s="60">
        <v>0.25</v>
      </c>
      <c r="U81" s="60">
        <v>0.5</v>
      </c>
      <c r="V81" s="60">
        <v>0.0909</v>
      </c>
      <c r="W81" s="60">
        <v>1</v>
      </c>
      <c r="X81" s="62">
        <v>0.10529999999999999</v>
      </c>
      <c r="Y81" s="62">
        <v>0</v>
      </c>
      <c r="Z81" s="62">
        <v>0</v>
      </c>
      <c r="AA81" s="62">
        <v>0</v>
      </c>
      <c r="AB81" s="62">
        <v>0.1579</v>
      </c>
      <c r="AC81" s="62">
        <v>0.0909</v>
      </c>
      <c r="AD81" s="62">
        <v>0.2759</v>
      </c>
      <c r="AE81" s="62">
        <v>0.1538</v>
      </c>
      <c r="AF81" s="62">
        <v>0.1667</v>
      </c>
      <c r="AG81" s="84"/>
      <c r="AH81" s="62">
        <v>0.2857</v>
      </c>
      <c r="AI81" s="84"/>
      <c r="AJ81" s="62">
        <v>0.25</v>
      </c>
      <c r="AK81" s="80">
        <v>0.4</v>
      </c>
      <c r="AL81" s="62">
        <v>0.3438</v>
      </c>
      <c r="AM81" s="62">
        <v>0.3</v>
      </c>
      <c r="AN81" s="62">
        <v>0.3076923076923077</v>
      </c>
      <c r="AO81" s="62">
        <v>0.6428571428571429</v>
      </c>
      <c r="AP81" s="81">
        <v>0.3667</v>
      </c>
      <c r="AQ81" s="81">
        <v>0.125</v>
      </c>
      <c r="AR81" s="81">
        <v>0.15789473684210525</v>
      </c>
      <c r="AS81" s="81">
        <v>0.13333333333333333</v>
      </c>
      <c r="AT81" s="81">
        <v>0.3157894736842105</v>
      </c>
      <c r="AU81" s="81">
        <v>0.2413793103448276</v>
      </c>
      <c r="AV81" s="81">
        <v>0.3877551020408163</v>
      </c>
      <c r="AW81" s="81">
        <v>0.1429</v>
      </c>
      <c r="AX81" s="81">
        <v>0.4167</v>
      </c>
      <c r="AY81" s="81">
        <v>0.2545</v>
      </c>
      <c r="AZ81" s="81">
        <v>0.1505</v>
      </c>
      <c r="BA81" s="81">
        <v>0.06557377049180328</v>
      </c>
      <c r="BB81" s="81">
        <v>0.1231</v>
      </c>
      <c r="BC81" s="60">
        <f>AVERAGE(O81:P81)</f>
        <v>0.16665</v>
      </c>
      <c r="BD81" s="60">
        <f>AVERAGE(Q81:R81)</f>
        <v>0.4048</v>
      </c>
      <c r="BE81" s="60">
        <f>AVERAGE(S81:T81)</f>
        <v>0.125</v>
      </c>
      <c r="BF81" s="60">
        <f>AVERAGE(U81:V81)</f>
        <v>0.29545</v>
      </c>
      <c r="BG81" s="62">
        <f>AVERAGE(W81:X81)</f>
        <v>0.55265</v>
      </c>
      <c r="BH81" s="62">
        <f>(Z81+Y81)/2</f>
        <v>0</v>
      </c>
      <c r="BI81" s="62">
        <f>AVERAGE(AA81:AB81)</f>
        <v>0.07895</v>
      </c>
      <c r="BJ81" s="62">
        <f>AVERAGE(AC81:AD81)</f>
        <v>0.18339999999999998</v>
      </c>
      <c r="BK81" s="62">
        <f>AVERAGE(AE81:AF81)</f>
        <v>0.16025</v>
      </c>
      <c r="BL81" s="62">
        <f>AVERAGE(AG81:AH81)</f>
        <v>0.2857</v>
      </c>
      <c r="BM81" s="62">
        <f>AVERAGE(AI81:AJ81)</f>
        <v>0.25</v>
      </c>
      <c r="BN81" s="62">
        <f>AVERAGE(AK81:AL81)</f>
        <v>0.3719</v>
      </c>
      <c r="BO81" s="62">
        <f t="shared" si="22"/>
        <v>0.3038461538461539</v>
      </c>
      <c r="BP81" s="62">
        <f t="shared" si="22"/>
        <v>0.4752747252747253</v>
      </c>
      <c r="BQ81" s="62">
        <f t="shared" si="22"/>
        <v>0.5047785714285715</v>
      </c>
      <c r="BR81" s="62">
        <f t="shared" si="22"/>
        <v>0.24585</v>
      </c>
      <c r="BS81" s="62">
        <f t="shared" si="22"/>
        <v>0.14144736842105263</v>
      </c>
      <c r="BT81" s="62">
        <f t="shared" si="22"/>
        <v>0.1456140350877193</v>
      </c>
      <c r="BU81" s="62">
        <f>AVERAGE(AY81:AZ81)</f>
        <v>0.2025</v>
      </c>
      <c r="BV81" s="62"/>
      <c r="BW81" s="61">
        <v>48</v>
      </c>
      <c r="BX81" s="54">
        <v>63</v>
      </c>
      <c r="BY81" s="54">
        <v>66</v>
      </c>
      <c r="BZ81" s="54">
        <v>73</v>
      </c>
      <c r="CA81" s="54">
        <v>89</v>
      </c>
      <c r="CB81" s="54">
        <v>64</v>
      </c>
      <c r="CC81" s="54">
        <v>67</v>
      </c>
      <c r="CD81" s="44">
        <v>88</v>
      </c>
      <c r="CE81" s="54">
        <v>110</v>
      </c>
      <c r="CF81" s="54">
        <v>137</v>
      </c>
      <c r="CG81" s="54">
        <f>124+9</f>
        <v>133</v>
      </c>
      <c r="CH81" s="54">
        <f>151+15</f>
        <v>166</v>
      </c>
      <c r="CI81" s="54">
        <f>178+29</f>
        <v>207</v>
      </c>
      <c r="CJ81" s="54">
        <f>210+42</f>
        <v>252</v>
      </c>
      <c r="CK81" s="54">
        <f>250+55</f>
        <v>305</v>
      </c>
      <c r="CL81" s="54">
        <f>334+64</f>
        <v>398</v>
      </c>
      <c r="CM81" s="54">
        <f>383+68</f>
        <v>451</v>
      </c>
      <c r="CN81" s="54">
        <f>423+69</f>
        <v>492</v>
      </c>
      <c r="CO81" s="54">
        <f>435+70</f>
        <v>505</v>
      </c>
      <c r="CP81" s="54">
        <v>552</v>
      </c>
      <c r="CQ81" s="54">
        <v>493</v>
      </c>
      <c r="CR81" s="55">
        <v>0.26</v>
      </c>
      <c r="CS81" s="55">
        <v>0.52</v>
      </c>
      <c r="CT81" s="55">
        <v>0.47</v>
      </c>
      <c r="CU81" s="55">
        <v>0.66</v>
      </c>
      <c r="CV81" s="55">
        <v>0.56</v>
      </c>
      <c r="CW81" s="64">
        <v>0.56</v>
      </c>
      <c r="CX81" s="64">
        <v>0.86</v>
      </c>
      <c r="CY81" s="66"/>
      <c r="CZ81" s="55">
        <v>0.8</v>
      </c>
      <c r="DA81" s="55">
        <v>0.6</v>
      </c>
      <c r="DB81" s="55">
        <v>0.81</v>
      </c>
      <c r="DC81" s="55">
        <v>0.6</v>
      </c>
      <c r="DD81" s="55">
        <v>0.56</v>
      </c>
      <c r="DE81" s="55">
        <v>0.86</v>
      </c>
      <c r="DF81" s="55">
        <v>0.8</v>
      </c>
      <c r="DG81" s="55">
        <v>0.63</v>
      </c>
      <c r="DH81" s="55">
        <v>0.84</v>
      </c>
      <c r="DI81" s="55">
        <v>0.73</v>
      </c>
      <c r="DJ81" s="55">
        <v>0.82</v>
      </c>
      <c r="DK81" s="55">
        <v>0.8275862068965517</v>
      </c>
      <c r="DL81" s="55">
        <v>0.73</v>
      </c>
      <c r="DM81" s="55">
        <v>0.74</v>
      </c>
      <c r="DN81" s="55">
        <v>0.82</v>
      </c>
      <c r="DO81" s="55">
        <v>0.7636363636363637</v>
      </c>
      <c r="DP81" s="55">
        <v>0.7204301075268817</v>
      </c>
      <c r="DQ81" s="55">
        <v>0.7213114754098361</v>
      </c>
      <c r="DR81" s="55">
        <v>0.7384615384615385</v>
      </c>
      <c r="DS81" s="55">
        <v>0.62</v>
      </c>
      <c r="DT81" s="55">
        <v>0.7</v>
      </c>
      <c r="DU81" s="55">
        <v>0.63</v>
      </c>
      <c r="DV81" s="55">
        <v>0.8</v>
      </c>
      <c r="DW81" s="55">
        <v>0.7424242424242424</v>
      </c>
      <c r="DX81" s="55">
        <v>0.77</v>
      </c>
      <c r="DY81" s="122"/>
      <c r="DZ81" s="122"/>
      <c r="EA81" s="124">
        <v>0.65</v>
      </c>
      <c r="EB81" s="124">
        <v>1</v>
      </c>
      <c r="EC81" s="122">
        <v>0.4</v>
      </c>
      <c r="ED81" s="122">
        <v>0.667</v>
      </c>
      <c r="EE81" s="124">
        <v>0.5</v>
      </c>
      <c r="EF81" s="124">
        <v>1</v>
      </c>
      <c r="EG81" s="122">
        <v>0.6</v>
      </c>
      <c r="EH81" s="122">
        <v>1</v>
      </c>
      <c r="EI81" s="124">
        <v>0.564</v>
      </c>
      <c r="EJ81" s="124">
        <v>0.957</v>
      </c>
      <c r="EK81" s="122">
        <v>0.571</v>
      </c>
      <c r="EL81" s="122">
        <v>0.889</v>
      </c>
      <c r="EM81" s="124">
        <v>0.6</v>
      </c>
      <c r="EN81" s="124">
        <v>0.947</v>
      </c>
      <c r="EO81" s="122">
        <v>0.25</v>
      </c>
      <c r="EP81" s="122">
        <v>1</v>
      </c>
      <c r="EQ81" s="124">
        <v>0.316</v>
      </c>
      <c r="ER81" s="124">
        <v>0.667</v>
      </c>
      <c r="ES81" s="122">
        <v>0.2</v>
      </c>
      <c r="ET81" s="122">
        <v>1</v>
      </c>
      <c r="EU81" s="124">
        <v>0.368</v>
      </c>
      <c r="EV81" s="124">
        <v>1</v>
      </c>
      <c r="EW81" s="122">
        <v>0.379</v>
      </c>
      <c r="EX81" s="122">
        <v>0.647</v>
      </c>
      <c r="EY81" s="124">
        <v>0.408</v>
      </c>
      <c r="EZ81" s="124">
        <v>0.69</v>
      </c>
      <c r="FA81" s="122">
        <v>0.214</v>
      </c>
      <c r="FB81" s="122">
        <v>0.529</v>
      </c>
      <c r="FC81" s="124">
        <v>0.458</v>
      </c>
      <c r="FD81" s="124">
        <v>0.786</v>
      </c>
      <c r="FE81" s="122">
        <v>0.109</v>
      </c>
      <c r="FF81" s="122">
        <v>0.194</v>
      </c>
      <c r="FG81" s="124">
        <v>0.075</v>
      </c>
      <c r="FH81" s="124">
        <v>0.167</v>
      </c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  <row r="82" spans="1:256" s="58" customFormat="1" ht="12.75">
      <c r="A82" s="47" t="s">
        <v>26</v>
      </c>
      <c r="B82" s="47" t="s">
        <v>312</v>
      </c>
      <c r="C82" s="39" t="s">
        <v>7</v>
      </c>
      <c r="D82" s="39">
        <v>5051100003</v>
      </c>
      <c r="E82" s="39">
        <v>541100014</v>
      </c>
      <c r="F82" s="26" t="s">
        <v>88</v>
      </c>
      <c r="G82" s="10" t="s">
        <v>318</v>
      </c>
      <c r="H82" s="10" t="s">
        <v>67</v>
      </c>
      <c r="I82" s="10" t="s">
        <v>175</v>
      </c>
      <c r="J82" s="10" t="s">
        <v>171</v>
      </c>
      <c r="K82" s="61">
        <v>1</v>
      </c>
      <c r="L82" s="75" t="s">
        <v>21</v>
      </c>
      <c r="M82" s="62" t="s">
        <v>21</v>
      </c>
      <c r="N82" s="62"/>
      <c r="O82" s="76"/>
      <c r="P82" s="76"/>
      <c r="Q82" s="76"/>
      <c r="R82" s="76"/>
      <c r="S82" s="76"/>
      <c r="T82" s="60">
        <v>0.3281</v>
      </c>
      <c r="U82" s="60">
        <v>0.1887</v>
      </c>
      <c r="V82" s="60">
        <v>0.1875</v>
      </c>
      <c r="W82" s="60">
        <v>0.3235</v>
      </c>
      <c r="X82" s="62">
        <v>0.1746</v>
      </c>
      <c r="Y82" s="62">
        <v>0.1212</v>
      </c>
      <c r="Z82" s="62">
        <v>0.1538</v>
      </c>
      <c r="AA82" s="62">
        <v>0.20588235294117646</v>
      </c>
      <c r="AB82" s="62">
        <v>0.2381</v>
      </c>
      <c r="AC82" s="62">
        <v>0.129</v>
      </c>
      <c r="AD82" s="62">
        <v>0.2075</v>
      </c>
      <c r="AE82" s="62">
        <v>0.2258</v>
      </c>
      <c r="AF82" s="62">
        <v>0.3077</v>
      </c>
      <c r="AG82" s="62">
        <v>0.3125</v>
      </c>
      <c r="AH82" s="62">
        <v>0.3492</v>
      </c>
      <c r="AI82" s="62">
        <v>0.2702702702702703</v>
      </c>
      <c r="AJ82" s="62">
        <v>0.3492063492063492</v>
      </c>
      <c r="AK82" s="80">
        <v>0.2647</v>
      </c>
      <c r="AL82" s="62">
        <v>0.1852</v>
      </c>
      <c r="AM82" s="62">
        <v>0.28125</v>
      </c>
      <c r="AN82" s="62">
        <v>0.30303030303030304</v>
      </c>
      <c r="AO82" s="62">
        <v>0.20512820512820512</v>
      </c>
      <c r="AP82" s="81">
        <v>0.2769</v>
      </c>
      <c r="AQ82" s="81">
        <v>0.14634146341463414</v>
      </c>
      <c r="AR82" s="81">
        <v>0.2777777777777778</v>
      </c>
      <c r="AS82" s="81">
        <v>0.45</v>
      </c>
      <c r="AT82" s="81">
        <v>0.13513513513513514</v>
      </c>
      <c r="AU82" s="81">
        <v>0.2903225806451613</v>
      </c>
      <c r="AV82" s="81">
        <v>0.4266666666666667</v>
      </c>
      <c r="AW82" s="81">
        <v>0.2727</v>
      </c>
      <c r="AX82" s="81">
        <v>0.2436</v>
      </c>
      <c r="AY82" s="81">
        <v>0.3167</v>
      </c>
      <c r="AZ82" s="81">
        <v>0.25</v>
      </c>
      <c r="BA82" s="81">
        <v>0.14814814814814814</v>
      </c>
      <c r="BB82" s="81">
        <v>0.3059</v>
      </c>
      <c r="BC82" s="60"/>
      <c r="BD82" s="60"/>
      <c r="BE82" s="60">
        <f>AVERAGE(S82:T82)</f>
        <v>0.3281</v>
      </c>
      <c r="BF82" s="60">
        <f>AVERAGE(U82:V82)</f>
        <v>0.1881</v>
      </c>
      <c r="BG82" s="62">
        <f>AVERAGE(W82:X82)</f>
        <v>0.24905</v>
      </c>
      <c r="BH82" s="62">
        <f>(Z82+Y82)/2</f>
        <v>0.1375</v>
      </c>
      <c r="BI82" s="62">
        <f>AVERAGE(AA82:AB82)</f>
        <v>0.22199117647058825</v>
      </c>
      <c r="BJ82" s="62">
        <f>AVERAGE(AC82:AD82)</f>
        <v>0.16825</v>
      </c>
      <c r="BK82" s="62">
        <f>AVERAGE(AE82:AF82)</f>
        <v>0.26675</v>
      </c>
      <c r="BL82" s="62">
        <f>AVERAGE(AG82:AH82)</f>
        <v>0.33085</v>
      </c>
      <c r="BM82" s="62">
        <f>AVERAGE(AI82:AJ82)</f>
        <v>0.30973830973830974</v>
      </c>
      <c r="BN82" s="62">
        <f>AVERAGE(AK82:AL82)</f>
        <v>0.22494999999999998</v>
      </c>
      <c r="BO82" s="62">
        <f t="shared" si="22"/>
        <v>0.2921401515151515</v>
      </c>
      <c r="BP82" s="62">
        <f t="shared" si="22"/>
        <v>0.2540792540792541</v>
      </c>
      <c r="BQ82" s="62">
        <f t="shared" si="22"/>
        <v>0.24101410256410255</v>
      </c>
      <c r="BR82" s="62">
        <f t="shared" si="22"/>
        <v>0.21162073170731704</v>
      </c>
      <c r="BS82" s="62">
        <f t="shared" si="22"/>
        <v>0.21205962059620598</v>
      </c>
      <c r="BT82" s="62">
        <f t="shared" si="22"/>
        <v>0.36388888888888893</v>
      </c>
      <c r="BU82" s="62">
        <f>AVERAGE(AY82:AZ82)</f>
        <v>0.28335</v>
      </c>
      <c r="BV82" s="62"/>
      <c r="BW82" s="61">
        <v>187</v>
      </c>
      <c r="BX82" s="54">
        <v>232</v>
      </c>
      <c r="BY82" s="54">
        <v>273</v>
      </c>
      <c r="BZ82" s="54">
        <v>329</v>
      </c>
      <c r="CA82" s="54">
        <v>335</v>
      </c>
      <c r="CB82" s="54">
        <v>331</v>
      </c>
      <c r="CC82" s="54">
        <v>355</v>
      </c>
      <c r="CD82" s="44">
        <v>358</v>
      </c>
      <c r="CE82" s="54">
        <v>353</v>
      </c>
      <c r="CF82" s="54">
        <v>378</v>
      </c>
      <c r="CG82" s="54">
        <f>357+41</f>
        <v>398</v>
      </c>
      <c r="CH82" s="54">
        <f>367+40</f>
        <v>407</v>
      </c>
      <c r="CI82" s="54">
        <f>377+30</f>
        <v>407</v>
      </c>
      <c r="CJ82" s="54">
        <f>371+56</f>
        <v>427</v>
      </c>
      <c r="CK82" s="54">
        <f>403+60</f>
        <v>463</v>
      </c>
      <c r="CL82" s="54">
        <f>440+56</f>
        <v>496</v>
      </c>
      <c r="CM82" s="54">
        <f>457+62</f>
        <v>519</v>
      </c>
      <c r="CN82" s="54">
        <f>494+62</f>
        <v>556</v>
      </c>
      <c r="CO82" s="54">
        <f>507+70</f>
        <v>577</v>
      </c>
      <c r="CP82" s="54">
        <v>615</v>
      </c>
      <c r="CQ82" s="54">
        <v>571</v>
      </c>
      <c r="CR82" s="55">
        <v>0.54</v>
      </c>
      <c r="CS82" s="55">
        <v>0.74</v>
      </c>
      <c r="CT82" s="55">
        <v>0.78</v>
      </c>
      <c r="CU82" s="55">
        <v>0.62</v>
      </c>
      <c r="CV82" s="55">
        <v>0.72</v>
      </c>
      <c r="CW82" s="64">
        <v>0.84</v>
      </c>
      <c r="CX82" s="64">
        <v>0.78</v>
      </c>
      <c r="CY82" s="55">
        <v>0.78</v>
      </c>
      <c r="CZ82" s="55">
        <v>0.83</v>
      </c>
      <c r="DA82" s="55">
        <v>0.76</v>
      </c>
      <c r="DB82" s="55">
        <v>0.8</v>
      </c>
      <c r="DC82" s="55">
        <v>0.75</v>
      </c>
      <c r="DD82" s="55">
        <v>0.77</v>
      </c>
      <c r="DE82" s="55">
        <v>0.69</v>
      </c>
      <c r="DF82" s="55">
        <v>0.66</v>
      </c>
      <c r="DG82" s="55">
        <v>0.56</v>
      </c>
      <c r="DH82" s="55">
        <v>0.65</v>
      </c>
      <c r="DI82" s="55">
        <v>0.83</v>
      </c>
      <c r="DJ82" s="55">
        <v>0.65</v>
      </c>
      <c r="DK82" s="55">
        <v>0.6451612903225806</v>
      </c>
      <c r="DL82" s="55">
        <v>0.79</v>
      </c>
      <c r="DM82" s="55">
        <v>0.56</v>
      </c>
      <c r="DN82" s="55">
        <v>0.64</v>
      </c>
      <c r="DO82" s="55">
        <v>0.6666666666666666</v>
      </c>
      <c r="DP82" s="55">
        <v>0.74</v>
      </c>
      <c r="DQ82" s="55">
        <v>0.8148148148148148</v>
      </c>
      <c r="DR82" s="55">
        <v>0.8</v>
      </c>
      <c r="DS82" s="55">
        <v>0.72</v>
      </c>
      <c r="DT82" s="55">
        <v>0.69</v>
      </c>
      <c r="DU82" s="55">
        <v>0.69</v>
      </c>
      <c r="DV82" s="55">
        <v>0.78</v>
      </c>
      <c r="DW82" s="55">
        <v>0.7692307692307693</v>
      </c>
      <c r="DX82" s="55">
        <v>0.8</v>
      </c>
      <c r="DY82" s="122">
        <v>0.676</v>
      </c>
      <c r="DZ82" s="122">
        <v>0.962</v>
      </c>
      <c r="EA82" s="124">
        <v>0.54</v>
      </c>
      <c r="EB82" s="124">
        <v>0.971</v>
      </c>
      <c r="EC82" s="122">
        <v>0.647</v>
      </c>
      <c r="ED82" s="122">
        <v>1</v>
      </c>
      <c r="EE82" s="124">
        <v>0.556</v>
      </c>
      <c r="EF82" s="124">
        <v>0.938</v>
      </c>
      <c r="EG82" s="122">
        <v>0.5</v>
      </c>
      <c r="EH82" s="122">
        <v>0.941</v>
      </c>
      <c r="EI82" s="124">
        <v>0.5</v>
      </c>
      <c r="EJ82" s="124">
        <v>0.868</v>
      </c>
      <c r="EK82" s="122">
        <v>0.5</v>
      </c>
      <c r="EL82" s="122">
        <v>0.95</v>
      </c>
      <c r="EM82" s="124">
        <v>0.462</v>
      </c>
      <c r="EN82" s="124">
        <v>0.857</v>
      </c>
      <c r="EO82" s="122">
        <v>0.432</v>
      </c>
      <c r="EP82" s="122">
        <v>0.889</v>
      </c>
      <c r="EQ82" s="124">
        <v>0.435</v>
      </c>
      <c r="ER82" s="124">
        <v>0.909</v>
      </c>
      <c r="ES82" s="122">
        <v>0.5</v>
      </c>
      <c r="ET82" s="122">
        <v>0.833</v>
      </c>
      <c r="EU82" s="124">
        <v>0.432</v>
      </c>
      <c r="EV82" s="124">
        <v>1</v>
      </c>
      <c r="EW82" s="122">
        <v>0.433</v>
      </c>
      <c r="EX82" s="122">
        <v>0.867</v>
      </c>
      <c r="EY82" s="124">
        <v>0.539</v>
      </c>
      <c r="EZ82" s="124">
        <v>0.911</v>
      </c>
      <c r="FA82" s="122">
        <v>0.345</v>
      </c>
      <c r="FB82" s="122">
        <v>0.905</v>
      </c>
      <c r="FC82" s="124">
        <v>0.256</v>
      </c>
      <c r="FD82" s="124">
        <v>0.488</v>
      </c>
      <c r="FE82" s="122">
        <v>0.183</v>
      </c>
      <c r="FF82" s="122">
        <v>0.324</v>
      </c>
      <c r="FG82" s="124">
        <v>0.18</v>
      </c>
      <c r="FH82" s="124">
        <v>0.295</v>
      </c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</row>
    <row r="83" spans="1:256" s="58" customFormat="1" ht="12.75">
      <c r="A83" s="47" t="s">
        <v>26</v>
      </c>
      <c r="B83" s="47" t="s">
        <v>312</v>
      </c>
      <c r="C83" s="39" t="s">
        <v>7</v>
      </c>
      <c r="D83" s="39">
        <v>5071400003</v>
      </c>
      <c r="E83" s="39">
        <v>551000065</v>
      </c>
      <c r="F83" s="26" t="s">
        <v>262</v>
      </c>
      <c r="G83" s="10" t="s">
        <v>318</v>
      </c>
      <c r="H83" s="10" t="s">
        <v>67</v>
      </c>
      <c r="I83" s="10" t="s">
        <v>163</v>
      </c>
      <c r="J83" s="10" t="s">
        <v>169</v>
      </c>
      <c r="K83" s="61"/>
      <c r="L83" s="75"/>
      <c r="M83" s="62"/>
      <c r="N83" s="62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81">
        <v>0.4</v>
      </c>
      <c r="AY83" s="81">
        <v>0</v>
      </c>
      <c r="AZ83" s="81">
        <v>0.5862</v>
      </c>
      <c r="BA83" s="81">
        <v>0.1875</v>
      </c>
      <c r="BB83" s="81">
        <v>0.3077</v>
      </c>
      <c r="BC83" s="60"/>
      <c r="BD83" s="60"/>
      <c r="BE83" s="60"/>
      <c r="BF83" s="60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f>AVERAGE(AY83:AZ83)</f>
        <v>0.2931</v>
      </c>
      <c r="BV83" s="62"/>
      <c r="BW83" s="61"/>
      <c r="BX83" s="54"/>
      <c r="BY83" s="54"/>
      <c r="BZ83" s="54"/>
      <c r="CA83" s="54"/>
      <c r="CB83" s="54"/>
      <c r="CC83" s="54"/>
      <c r="CD83" s="44"/>
      <c r="CE83" s="54"/>
      <c r="CF83" s="54"/>
      <c r="CG83" s="54"/>
      <c r="CH83" s="54"/>
      <c r="CI83" s="54"/>
      <c r="CJ83" s="54"/>
      <c r="CK83" s="54"/>
      <c r="CL83" s="54"/>
      <c r="CM83" s="54"/>
      <c r="CN83" s="54">
        <f>106+12</f>
        <v>118</v>
      </c>
      <c r="CO83" s="54">
        <f>165+32</f>
        <v>197</v>
      </c>
      <c r="CP83" s="54">
        <v>220</v>
      </c>
      <c r="CQ83" s="54">
        <v>188</v>
      </c>
      <c r="CR83" s="55"/>
      <c r="CS83" s="55"/>
      <c r="CT83" s="55"/>
      <c r="CU83" s="55"/>
      <c r="CV83" s="55"/>
      <c r="CW83" s="64"/>
      <c r="CX83" s="64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>
        <v>0.6</v>
      </c>
      <c r="DO83" s="55">
        <v>0.5714285714285714</v>
      </c>
      <c r="DP83" s="55">
        <v>0.8620689655172413</v>
      </c>
      <c r="DQ83" s="55">
        <v>0.6875</v>
      </c>
      <c r="DR83" s="55">
        <v>0.8461538461538461</v>
      </c>
      <c r="DS83" s="55">
        <v>0.61</v>
      </c>
      <c r="DT83" s="55">
        <v>0.63</v>
      </c>
      <c r="DU83" s="55">
        <v>0.75</v>
      </c>
      <c r="DV83" s="55">
        <v>0.69</v>
      </c>
      <c r="DW83" s="55">
        <v>0.7586206896551724</v>
      </c>
      <c r="DX83" s="55">
        <v>0.73</v>
      </c>
      <c r="DY83" s="122"/>
      <c r="DZ83" s="122"/>
      <c r="EA83" s="124"/>
      <c r="EB83" s="124"/>
      <c r="EC83" s="122"/>
      <c r="ED83" s="122"/>
      <c r="EE83" s="124"/>
      <c r="EF83" s="124"/>
      <c r="EG83" s="122"/>
      <c r="EH83" s="122"/>
      <c r="EI83" s="124"/>
      <c r="EJ83" s="124"/>
      <c r="EK83" s="122" t="s">
        <v>211</v>
      </c>
      <c r="EL83" s="122" t="s">
        <v>211</v>
      </c>
      <c r="EM83" s="124"/>
      <c r="EN83" s="124"/>
      <c r="EO83" s="122"/>
      <c r="EP83" s="122"/>
      <c r="EQ83" s="124"/>
      <c r="ER83" s="124"/>
      <c r="ES83" s="122" t="s">
        <v>211</v>
      </c>
      <c r="ET83" s="122" t="s">
        <v>211</v>
      </c>
      <c r="EU83" s="124" t="s">
        <v>211</v>
      </c>
      <c r="EV83" s="124" t="s">
        <v>211</v>
      </c>
      <c r="EW83" s="122" t="s">
        <v>211</v>
      </c>
      <c r="EX83" s="122" t="s">
        <v>211</v>
      </c>
      <c r="EY83" s="124" t="s">
        <v>211</v>
      </c>
      <c r="EZ83" s="124" t="s">
        <v>211</v>
      </c>
      <c r="FA83" s="122" t="s">
        <v>211</v>
      </c>
      <c r="FB83" s="122" t="s">
        <v>211</v>
      </c>
      <c r="FC83" s="124">
        <v>0.2</v>
      </c>
      <c r="FD83" s="124">
        <v>0.364</v>
      </c>
      <c r="FE83" s="122">
        <v>0</v>
      </c>
      <c r="FF83" s="122">
        <v>0</v>
      </c>
      <c r="FG83" s="124">
        <v>0.379</v>
      </c>
      <c r="FH83" s="124">
        <v>0.524</v>
      </c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</row>
    <row r="84" spans="1:256" s="58" customFormat="1" ht="12.75">
      <c r="A84" s="47" t="s">
        <v>26</v>
      </c>
      <c r="B84" s="47" t="s">
        <v>312</v>
      </c>
      <c r="C84" s="39" t="s">
        <v>7</v>
      </c>
      <c r="D84" s="39">
        <v>5071400005</v>
      </c>
      <c r="E84" s="39">
        <v>551100005</v>
      </c>
      <c r="F84" s="34" t="s">
        <v>89</v>
      </c>
      <c r="G84" s="10" t="s">
        <v>318</v>
      </c>
      <c r="H84" s="10" t="s">
        <v>67</v>
      </c>
      <c r="I84" s="10" t="s">
        <v>163</v>
      </c>
      <c r="J84" s="10" t="s">
        <v>169</v>
      </c>
      <c r="K84" s="61"/>
      <c r="L84" s="75" t="s">
        <v>21</v>
      </c>
      <c r="M84" s="83"/>
      <c r="N84" s="62"/>
      <c r="O84" s="76"/>
      <c r="P84" s="76"/>
      <c r="Q84" s="76"/>
      <c r="R84" s="76"/>
      <c r="S84" s="76"/>
      <c r="T84" s="60">
        <v>0.1429</v>
      </c>
      <c r="U84" s="60">
        <v>0.1818</v>
      </c>
      <c r="V84" s="60">
        <v>0.14285714285714285</v>
      </c>
      <c r="W84" s="60">
        <v>0.1667</v>
      </c>
      <c r="X84" s="62">
        <v>0.3889</v>
      </c>
      <c r="Y84" s="62">
        <v>0.1429</v>
      </c>
      <c r="Z84" s="62">
        <v>0.16666666666666666</v>
      </c>
      <c r="AA84" s="62">
        <v>0.6666666666666666</v>
      </c>
      <c r="AB84" s="62">
        <v>0.5</v>
      </c>
      <c r="AC84" s="62">
        <v>0.1818</v>
      </c>
      <c r="AD84" s="62">
        <v>0</v>
      </c>
      <c r="AE84" s="86"/>
      <c r="AF84" s="62">
        <v>0.1875</v>
      </c>
      <c r="AG84" s="84"/>
      <c r="AH84" s="62">
        <v>0.2632</v>
      </c>
      <c r="AI84" s="84"/>
      <c r="AJ84" s="62">
        <v>0.4</v>
      </c>
      <c r="AK84" s="80">
        <v>0.25</v>
      </c>
      <c r="AL84" s="62">
        <v>0.5</v>
      </c>
      <c r="AM84" s="62">
        <v>0.1429</v>
      </c>
      <c r="AN84" s="62">
        <v>0.2222222222222222</v>
      </c>
      <c r="AO84" s="86"/>
      <c r="AP84" s="81">
        <v>0.0667</v>
      </c>
      <c r="AQ84" s="81">
        <v>0</v>
      </c>
      <c r="AR84" s="81">
        <v>0.2</v>
      </c>
      <c r="AS84" s="81">
        <v>0</v>
      </c>
      <c r="AT84" s="81">
        <v>0.125</v>
      </c>
      <c r="AU84" s="81">
        <v>0.09090909090909091</v>
      </c>
      <c r="AV84" s="81">
        <v>0.11764705882352941</v>
      </c>
      <c r="AW84" s="81">
        <v>0.0909</v>
      </c>
      <c r="AX84" s="84"/>
      <c r="AY84" s="84"/>
      <c r="AZ84" s="84"/>
      <c r="BA84" s="84"/>
      <c r="BB84" s="84"/>
      <c r="BC84" s="60"/>
      <c r="BD84" s="60"/>
      <c r="BE84" s="60">
        <f>AVERAGE(S84:T84)</f>
        <v>0.1429</v>
      </c>
      <c r="BF84" s="60">
        <f>AVERAGE(U84:V84)</f>
        <v>0.16232857142857143</v>
      </c>
      <c r="BG84" s="62">
        <f>AVERAGE(W84:X84)</f>
        <v>0.2778</v>
      </c>
      <c r="BH84" s="62">
        <f>(Z84+Y84)/2</f>
        <v>0.15478333333333333</v>
      </c>
      <c r="BI84" s="62">
        <f>AVERAGE(AA84:AB84)</f>
        <v>0.5833333333333333</v>
      </c>
      <c r="BJ84" s="62">
        <f aca="true" t="shared" si="23" ref="BJ84:BJ90">AVERAGE(AC84:AD84)</f>
        <v>0.0909</v>
      </c>
      <c r="BK84" s="62">
        <f aca="true" t="shared" si="24" ref="BK84:BK90">AVERAGE(AE84:AF84)</f>
        <v>0.1875</v>
      </c>
      <c r="BL84" s="62">
        <f aca="true" t="shared" si="25" ref="BL84:BL91">AVERAGE(AG84:AH84)</f>
        <v>0.2632</v>
      </c>
      <c r="BM84" s="62">
        <f aca="true" t="shared" si="26" ref="BM84:BM91">AVERAGE(AI84:AJ84)</f>
        <v>0.4</v>
      </c>
      <c r="BN84" s="62">
        <f>AVERAGE(AK84:AL84)</f>
        <v>0.375</v>
      </c>
      <c r="BO84" s="62">
        <f aca="true" t="shared" si="27" ref="BO84:BT91">AVERAGE(AM84:AN84)</f>
        <v>0.18256111111111112</v>
      </c>
      <c r="BP84" s="62">
        <f t="shared" si="27"/>
        <v>0.2222222222222222</v>
      </c>
      <c r="BQ84" s="62">
        <f t="shared" si="27"/>
        <v>0.0667</v>
      </c>
      <c r="BR84" s="62">
        <f t="shared" si="27"/>
        <v>0.03335</v>
      </c>
      <c r="BS84" s="62">
        <f t="shared" si="27"/>
        <v>0.1</v>
      </c>
      <c r="BT84" s="62">
        <f t="shared" si="27"/>
        <v>0.1</v>
      </c>
      <c r="BU84" s="62"/>
      <c r="BV84" s="62"/>
      <c r="BW84" s="61">
        <v>31</v>
      </c>
      <c r="BX84" s="54">
        <v>46</v>
      </c>
      <c r="BY84" s="54">
        <v>55</v>
      </c>
      <c r="BZ84" s="54">
        <v>69</v>
      </c>
      <c r="CA84" s="54">
        <v>57</v>
      </c>
      <c r="CB84" s="54">
        <v>58</v>
      </c>
      <c r="CC84" s="54">
        <v>58</v>
      </c>
      <c r="CD84" s="44">
        <v>61</v>
      </c>
      <c r="CE84" s="54">
        <v>57</v>
      </c>
      <c r="CF84" s="54">
        <v>52</v>
      </c>
      <c r="CG84" s="54">
        <f>52+8</f>
        <v>60</v>
      </c>
      <c r="CH84" s="54">
        <f>55+3</f>
        <v>58</v>
      </c>
      <c r="CI84" s="54">
        <f>49+12</f>
        <v>61</v>
      </c>
      <c r="CJ84" s="54">
        <f>59+11</f>
        <v>70</v>
      </c>
      <c r="CK84" s="54">
        <f>75+14</f>
        <v>89</v>
      </c>
      <c r="CL84" s="54">
        <f>91+16</f>
        <v>107</v>
      </c>
      <c r="CM84" s="54">
        <f>116+18</f>
        <v>134</v>
      </c>
      <c r="CN84" s="54">
        <v>16</v>
      </c>
      <c r="CO84" s="54">
        <v>6</v>
      </c>
      <c r="CP84" s="54">
        <v>1</v>
      </c>
      <c r="CQ84" s="54">
        <v>1</v>
      </c>
      <c r="CR84" s="55">
        <v>0.72</v>
      </c>
      <c r="CS84" s="55">
        <v>0.56</v>
      </c>
      <c r="CT84" s="55">
        <v>0.63</v>
      </c>
      <c r="CU84" s="55">
        <v>0.5</v>
      </c>
      <c r="CV84" s="55">
        <v>0.63</v>
      </c>
      <c r="CW84" s="64">
        <v>0.63</v>
      </c>
      <c r="CX84" s="64">
        <v>1</v>
      </c>
      <c r="CY84" s="66"/>
      <c r="CZ84" s="55">
        <v>0.6</v>
      </c>
      <c r="DA84" s="55">
        <v>0.25</v>
      </c>
      <c r="DB84" s="55">
        <v>0.92</v>
      </c>
      <c r="DC84" s="66"/>
      <c r="DD84" s="55">
        <v>0.89</v>
      </c>
      <c r="DE84" s="66"/>
      <c r="DF84" s="55">
        <v>0.67</v>
      </c>
      <c r="DG84" s="55">
        <v>0.86</v>
      </c>
      <c r="DH84" s="55">
        <v>0.53</v>
      </c>
      <c r="DI84" s="55">
        <v>1</v>
      </c>
      <c r="DJ84" s="55">
        <v>0.75</v>
      </c>
      <c r="DK84" s="55">
        <v>0.6363636363636364</v>
      </c>
      <c r="DL84" s="55">
        <v>0.59</v>
      </c>
      <c r="DM84" s="55">
        <v>0.64</v>
      </c>
      <c r="DN84" s="134"/>
      <c r="DO84" s="134"/>
      <c r="DP84" s="134"/>
      <c r="DQ84" s="134"/>
      <c r="DR84" s="134"/>
      <c r="DS84" s="134"/>
      <c r="DT84" s="134"/>
      <c r="DU84" s="134"/>
      <c r="DV84" s="134"/>
      <c r="DW84" s="130"/>
      <c r="DX84" s="130"/>
      <c r="DY84" s="122"/>
      <c r="DZ84" s="122"/>
      <c r="EA84" s="124"/>
      <c r="EB84" s="124"/>
      <c r="EC84" s="122"/>
      <c r="ED84" s="122"/>
      <c r="EE84" s="124"/>
      <c r="EF84" s="124"/>
      <c r="EG84" s="122">
        <v>0.4</v>
      </c>
      <c r="EH84" s="122">
        <v>1</v>
      </c>
      <c r="EI84" s="124">
        <v>0.25</v>
      </c>
      <c r="EJ84" s="124">
        <v>1</v>
      </c>
      <c r="EK84" s="122">
        <v>0.667</v>
      </c>
      <c r="EL84" s="122">
        <v>1</v>
      </c>
      <c r="EM84" s="124">
        <v>0.286</v>
      </c>
      <c r="EN84" s="124">
        <v>1</v>
      </c>
      <c r="EO84" s="122">
        <v>0.556</v>
      </c>
      <c r="EP84" s="122">
        <v>1</v>
      </c>
      <c r="EQ84" s="124" t="s">
        <v>211</v>
      </c>
      <c r="ER84" s="124" t="s">
        <v>211</v>
      </c>
      <c r="ES84" s="122">
        <v>0.333</v>
      </c>
      <c r="ET84" s="122">
        <v>1</v>
      </c>
      <c r="EU84" s="124">
        <v>0.75</v>
      </c>
      <c r="EV84" s="124">
        <v>1</v>
      </c>
      <c r="EW84" s="122">
        <v>0.182</v>
      </c>
      <c r="EX84" s="122">
        <v>0.667</v>
      </c>
      <c r="EY84" s="124">
        <v>0.176</v>
      </c>
      <c r="EZ84" s="124">
        <v>0.429</v>
      </c>
      <c r="FA84" s="122">
        <v>0.364</v>
      </c>
      <c r="FB84" s="122">
        <v>0.8</v>
      </c>
      <c r="FC84" s="132" t="s">
        <v>211</v>
      </c>
      <c r="FD84" s="132" t="s">
        <v>211</v>
      </c>
      <c r="FE84" s="131" t="s">
        <v>211</v>
      </c>
      <c r="FF84" s="131" t="s">
        <v>211</v>
      </c>
      <c r="FG84" s="132" t="s">
        <v>211</v>
      </c>
      <c r="FH84" s="132" t="s">
        <v>211</v>
      </c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  <c r="IV84" s="57"/>
    </row>
    <row r="85" spans="1:256" s="58" customFormat="1" ht="12.75">
      <c r="A85" s="47" t="s">
        <v>26</v>
      </c>
      <c r="B85" s="47" t="s">
        <v>312</v>
      </c>
      <c r="C85" s="39" t="s">
        <v>7</v>
      </c>
      <c r="D85" s="39">
        <v>5062100015</v>
      </c>
      <c r="E85" s="39">
        <v>551700040</v>
      </c>
      <c r="F85" s="34" t="s">
        <v>90</v>
      </c>
      <c r="G85" s="10" t="s">
        <v>318</v>
      </c>
      <c r="H85" s="10" t="s">
        <v>67</v>
      </c>
      <c r="I85" s="10" t="s">
        <v>175</v>
      </c>
      <c r="J85" s="10" t="s">
        <v>169</v>
      </c>
      <c r="K85" s="61"/>
      <c r="L85" s="75"/>
      <c r="M85" s="83"/>
      <c r="N85" s="62"/>
      <c r="O85" s="76"/>
      <c r="P85" s="76"/>
      <c r="Q85" s="76"/>
      <c r="R85" s="76"/>
      <c r="S85" s="76"/>
      <c r="T85" s="76"/>
      <c r="U85" s="60">
        <v>0.3333</v>
      </c>
      <c r="V85" s="60">
        <v>0.4732824427480916</v>
      </c>
      <c r="W85" s="60">
        <v>0.3824</v>
      </c>
      <c r="X85" s="62">
        <v>0.4355</v>
      </c>
      <c r="Y85" s="62">
        <v>0.1915</v>
      </c>
      <c r="Z85" s="62">
        <v>0.4491</v>
      </c>
      <c r="AA85" s="62">
        <v>0.3333333333333333</v>
      </c>
      <c r="AB85" s="62">
        <v>0.5185</v>
      </c>
      <c r="AC85" s="62">
        <v>0.1714</v>
      </c>
      <c r="AD85" s="62">
        <v>0.5063</v>
      </c>
      <c r="AE85" s="62">
        <v>0.3108</v>
      </c>
      <c r="AF85" s="62">
        <v>0.4359</v>
      </c>
      <c r="AG85" s="62">
        <v>0.4384</v>
      </c>
      <c r="AH85" s="62">
        <v>0.3971</v>
      </c>
      <c r="AI85" s="62">
        <v>0.36363636363636365</v>
      </c>
      <c r="AJ85" s="62">
        <v>0.4918032786885246</v>
      </c>
      <c r="AK85" s="80">
        <v>0.2727</v>
      </c>
      <c r="AL85" s="62">
        <v>0.5735</v>
      </c>
      <c r="AM85" s="62">
        <v>0.4423</v>
      </c>
      <c r="AN85" s="62">
        <v>0.5238095238095238</v>
      </c>
      <c r="AO85" s="62">
        <v>0.23809523809523808</v>
      </c>
      <c r="AP85" s="81">
        <v>0.1594</v>
      </c>
      <c r="AQ85" s="81">
        <v>0.19402985074626866</v>
      </c>
      <c r="AR85" s="81">
        <v>0.40425531914893614</v>
      </c>
      <c r="AS85" s="81">
        <v>0.38596491228070173</v>
      </c>
      <c r="AT85" s="81">
        <v>0.4152542372881356</v>
      </c>
      <c r="AU85" s="84"/>
      <c r="AV85" s="84"/>
      <c r="AW85" s="84"/>
      <c r="AX85" s="84"/>
      <c r="AY85" s="84"/>
      <c r="AZ85" s="84"/>
      <c r="BA85" s="84"/>
      <c r="BB85" s="84"/>
      <c r="BC85" s="60"/>
      <c r="BD85" s="60"/>
      <c r="BE85" s="60"/>
      <c r="BF85" s="60">
        <f>AVERAGE(U85:V85)</f>
        <v>0.4032912213740458</v>
      </c>
      <c r="BG85" s="62">
        <f>AVERAGE(W85:X85)</f>
        <v>0.40895000000000004</v>
      </c>
      <c r="BH85" s="62">
        <f>(Z85+Y85)/2</f>
        <v>0.32030000000000003</v>
      </c>
      <c r="BI85" s="62">
        <f>AVERAGE(AA85:AB85)</f>
        <v>0.4259166666666666</v>
      </c>
      <c r="BJ85" s="62">
        <f t="shared" si="23"/>
        <v>0.33885</v>
      </c>
      <c r="BK85" s="62">
        <f t="shared" si="24"/>
        <v>0.37335</v>
      </c>
      <c r="BL85" s="62">
        <f t="shared" si="25"/>
        <v>0.41775</v>
      </c>
      <c r="BM85" s="62">
        <f t="shared" si="26"/>
        <v>0.4277198211624441</v>
      </c>
      <c r="BN85" s="62">
        <f>AVERAGE(AK85:AL85)</f>
        <v>0.42310000000000003</v>
      </c>
      <c r="BO85" s="62">
        <f t="shared" si="27"/>
        <v>0.48305476190476193</v>
      </c>
      <c r="BP85" s="62">
        <f t="shared" si="27"/>
        <v>0.38095238095238093</v>
      </c>
      <c r="BQ85" s="62">
        <f t="shared" si="27"/>
        <v>0.19874761904761903</v>
      </c>
      <c r="BR85" s="62">
        <f t="shared" si="27"/>
        <v>0.17671492537313432</v>
      </c>
      <c r="BS85" s="62">
        <f t="shared" si="27"/>
        <v>0.2991425849476024</v>
      </c>
      <c r="BT85" s="62">
        <f t="shared" si="27"/>
        <v>0.3951101157148189</v>
      </c>
      <c r="BU85" s="62"/>
      <c r="BV85" s="62"/>
      <c r="BW85" s="61">
        <v>306</v>
      </c>
      <c r="BX85" s="54">
        <v>515</v>
      </c>
      <c r="BY85" s="54">
        <v>650</v>
      </c>
      <c r="BZ85" s="54">
        <v>717</v>
      </c>
      <c r="CA85" s="54">
        <v>770</v>
      </c>
      <c r="CB85" s="54">
        <v>708</v>
      </c>
      <c r="CC85" s="54">
        <v>675</v>
      </c>
      <c r="CD85" s="44">
        <v>585</v>
      </c>
      <c r="CE85" s="54">
        <v>574</v>
      </c>
      <c r="CF85" s="54">
        <v>544</v>
      </c>
      <c r="CG85" s="54">
        <f>464+67</f>
        <v>531</v>
      </c>
      <c r="CH85" s="54">
        <f>479+57</f>
        <v>536</v>
      </c>
      <c r="CI85" s="54">
        <v>518</v>
      </c>
      <c r="CJ85" s="54">
        <v>356</v>
      </c>
      <c r="CK85" s="54">
        <f>261+1</f>
        <v>262</v>
      </c>
      <c r="CL85" s="54">
        <v>191</v>
      </c>
      <c r="CM85" s="54">
        <f>78+0</f>
        <v>78</v>
      </c>
      <c r="CN85" s="54">
        <f>1+0</f>
        <v>1</v>
      </c>
      <c r="CO85" s="54"/>
      <c r="CP85" s="54"/>
      <c r="CQ85" s="54"/>
      <c r="CR85" s="55">
        <v>0.77</v>
      </c>
      <c r="CS85" s="55">
        <v>0.76</v>
      </c>
      <c r="CT85" s="55">
        <v>0.93</v>
      </c>
      <c r="CU85" s="55">
        <v>0.84</v>
      </c>
      <c r="CV85" s="55">
        <v>0.92</v>
      </c>
      <c r="CW85" s="64">
        <v>0.71</v>
      </c>
      <c r="CX85" s="64">
        <v>0.9</v>
      </c>
      <c r="CY85" s="55">
        <v>0.62</v>
      </c>
      <c r="CZ85" s="55">
        <v>0.9</v>
      </c>
      <c r="DA85" s="55">
        <v>0.73</v>
      </c>
      <c r="DB85" s="55">
        <v>0.81</v>
      </c>
      <c r="DC85" s="55">
        <v>0.73</v>
      </c>
      <c r="DD85" s="55">
        <v>0.79</v>
      </c>
      <c r="DE85" s="55">
        <v>0.63</v>
      </c>
      <c r="DF85" s="55">
        <v>0.77</v>
      </c>
      <c r="DG85" s="55">
        <v>0.76</v>
      </c>
      <c r="DH85" s="55">
        <v>0.77</v>
      </c>
      <c r="DI85" s="55">
        <v>0.74</v>
      </c>
      <c r="DJ85" s="55">
        <v>0.65</v>
      </c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5" t="s">
        <v>211</v>
      </c>
      <c r="DZ85" s="135" t="s">
        <v>211</v>
      </c>
      <c r="EA85" s="124">
        <v>0.468</v>
      </c>
      <c r="EB85" s="124">
        <v>1</v>
      </c>
      <c r="EC85" s="122">
        <v>0.672</v>
      </c>
      <c r="ED85" s="122">
        <v>1</v>
      </c>
      <c r="EE85" s="124">
        <v>0.439</v>
      </c>
      <c r="EF85" s="124">
        <v>1</v>
      </c>
      <c r="EG85" s="122">
        <v>0.618</v>
      </c>
      <c r="EH85" s="122">
        <v>1</v>
      </c>
      <c r="EI85" s="124">
        <v>0.5</v>
      </c>
      <c r="EJ85" s="124">
        <v>1</v>
      </c>
      <c r="EK85" s="122">
        <v>0.603</v>
      </c>
      <c r="EL85" s="122">
        <v>1</v>
      </c>
      <c r="EM85" s="124">
        <v>0.464</v>
      </c>
      <c r="EN85" s="124">
        <v>1</v>
      </c>
      <c r="EO85" s="122">
        <v>0.328</v>
      </c>
      <c r="EP85" s="122">
        <v>0.759</v>
      </c>
      <c r="EQ85" s="124">
        <v>0.606</v>
      </c>
      <c r="ER85" s="124">
        <v>1</v>
      </c>
      <c r="ES85" s="122">
        <v>0.456</v>
      </c>
      <c r="ET85" s="122">
        <v>1</v>
      </c>
      <c r="EU85" s="124">
        <v>0.415</v>
      </c>
      <c r="EV85" s="124">
        <v>1</v>
      </c>
      <c r="EW85" s="131" t="s">
        <v>211</v>
      </c>
      <c r="EX85" s="131" t="s">
        <v>211</v>
      </c>
      <c r="EY85" s="132" t="s">
        <v>211</v>
      </c>
      <c r="EZ85" s="132" t="s">
        <v>211</v>
      </c>
      <c r="FA85" s="131" t="s">
        <v>211</v>
      </c>
      <c r="FB85" s="131" t="s">
        <v>211</v>
      </c>
      <c r="FC85" s="132" t="s">
        <v>211</v>
      </c>
      <c r="FD85" s="132" t="s">
        <v>211</v>
      </c>
      <c r="FE85" s="131" t="s">
        <v>211</v>
      </c>
      <c r="FF85" s="131" t="s">
        <v>211</v>
      </c>
      <c r="FG85" s="132" t="s">
        <v>211</v>
      </c>
      <c r="FH85" s="132" t="s">
        <v>211</v>
      </c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  <c r="IV85" s="57"/>
    </row>
    <row r="86" spans="1:256" s="58" customFormat="1" ht="12.75">
      <c r="A86" s="47" t="s">
        <v>26</v>
      </c>
      <c r="B86" s="47" t="s">
        <v>312</v>
      </c>
      <c r="C86" s="39" t="s">
        <v>7</v>
      </c>
      <c r="D86" s="39">
        <v>5072100025</v>
      </c>
      <c r="E86" s="39">
        <v>743100020</v>
      </c>
      <c r="F86" s="26" t="s">
        <v>91</v>
      </c>
      <c r="G86" s="10" t="s">
        <v>318</v>
      </c>
      <c r="H86" s="10" t="s">
        <v>67</v>
      </c>
      <c r="I86" s="10" t="s">
        <v>175</v>
      </c>
      <c r="J86" s="10" t="s">
        <v>171</v>
      </c>
      <c r="K86" s="61">
        <v>1</v>
      </c>
      <c r="L86" s="75" t="s">
        <v>21</v>
      </c>
      <c r="M86" s="62" t="s">
        <v>21</v>
      </c>
      <c r="N86" s="62"/>
      <c r="O86" s="76"/>
      <c r="P86" s="76"/>
      <c r="Q86" s="76"/>
      <c r="R86" s="76"/>
      <c r="S86" s="76"/>
      <c r="T86" s="76"/>
      <c r="U86" s="82"/>
      <c r="V86" s="60">
        <v>0.2169</v>
      </c>
      <c r="W86" s="60">
        <v>0.2292</v>
      </c>
      <c r="X86" s="62">
        <v>0.3158</v>
      </c>
      <c r="Y86" s="62">
        <v>0.1364</v>
      </c>
      <c r="Z86" s="62">
        <v>0.36</v>
      </c>
      <c r="AA86" s="62">
        <v>0.15789473684210525</v>
      </c>
      <c r="AB86" s="62">
        <v>0.2344</v>
      </c>
      <c r="AC86" s="62">
        <v>0.2143</v>
      </c>
      <c r="AD86" s="62">
        <v>0.2308</v>
      </c>
      <c r="AE86" s="62">
        <v>0.0769</v>
      </c>
      <c r="AF86" s="62">
        <v>0.1714</v>
      </c>
      <c r="AG86" s="62">
        <v>0.08</v>
      </c>
      <c r="AH86" s="62">
        <v>0.1463</v>
      </c>
      <c r="AI86" s="62">
        <v>0.030303030303030304</v>
      </c>
      <c r="AJ86" s="62">
        <v>0.2903225806451613</v>
      </c>
      <c r="AK86" s="80">
        <v>0.1316</v>
      </c>
      <c r="AL86" s="62">
        <v>0.3636</v>
      </c>
      <c r="AM86" s="62">
        <v>0.1667</v>
      </c>
      <c r="AN86" s="62">
        <v>0.21212121212121213</v>
      </c>
      <c r="AO86" s="62">
        <v>0</v>
      </c>
      <c r="AP86" s="81">
        <v>0.0256</v>
      </c>
      <c r="AQ86" s="81">
        <v>0</v>
      </c>
      <c r="AR86" s="81">
        <v>0</v>
      </c>
      <c r="AS86" s="81">
        <v>0.027777777777777776</v>
      </c>
      <c r="AT86" s="81">
        <v>0</v>
      </c>
      <c r="AU86" s="81">
        <v>0</v>
      </c>
      <c r="AV86" s="81">
        <v>0.1388888888888889</v>
      </c>
      <c r="AW86" s="81">
        <v>0</v>
      </c>
      <c r="AX86" s="81">
        <v>0.0571</v>
      </c>
      <c r="AY86" s="81">
        <v>0.1429</v>
      </c>
      <c r="AZ86" s="81">
        <v>0.1698</v>
      </c>
      <c r="BA86" s="81">
        <v>0.3333333333333333</v>
      </c>
      <c r="BB86" s="81">
        <v>0.2143</v>
      </c>
      <c r="BC86" s="60"/>
      <c r="BD86" s="60"/>
      <c r="BE86" s="60"/>
      <c r="BF86" s="60">
        <f>AVERAGE(U86:V86)</f>
        <v>0.2169</v>
      </c>
      <c r="BG86" s="62">
        <f>AVERAGE(W86:X86)</f>
        <v>0.2725</v>
      </c>
      <c r="BH86" s="62">
        <f>(Z86+Y86)/2</f>
        <v>0.24819999999999998</v>
      </c>
      <c r="BI86" s="62">
        <f>AVERAGE(AA86:AB86)</f>
        <v>0.19614736842105263</v>
      </c>
      <c r="BJ86" s="62">
        <f t="shared" si="23"/>
        <v>0.22255</v>
      </c>
      <c r="BK86" s="62">
        <f t="shared" si="24"/>
        <v>0.12415</v>
      </c>
      <c r="BL86" s="62">
        <f t="shared" si="25"/>
        <v>0.11315</v>
      </c>
      <c r="BM86" s="62">
        <f t="shared" si="26"/>
        <v>0.16031280547409582</v>
      </c>
      <c r="BN86" s="62">
        <f>AVERAGE(AK86:AL86)</f>
        <v>0.2476</v>
      </c>
      <c r="BO86" s="62">
        <f t="shared" si="27"/>
        <v>0.18941060606060606</v>
      </c>
      <c r="BP86" s="62">
        <f t="shared" si="27"/>
        <v>0.10606060606060606</v>
      </c>
      <c r="BQ86" s="62">
        <f t="shared" si="27"/>
        <v>0.0128</v>
      </c>
      <c r="BR86" s="62">
        <f t="shared" si="27"/>
        <v>0.0128</v>
      </c>
      <c r="BS86" s="62">
        <f t="shared" si="27"/>
        <v>0</v>
      </c>
      <c r="BT86" s="62">
        <f t="shared" si="27"/>
        <v>0.013888888888888888</v>
      </c>
      <c r="BU86" s="62">
        <f>AVERAGE(AY86:AZ86)</f>
        <v>0.15635</v>
      </c>
      <c r="BV86" s="62"/>
      <c r="BW86" s="61">
        <v>130</v>
      </c>
      <c r="BX86" s="54">
        <v>157</v>
      </c>
      <c r="BY86" s="54">
        <v>230</v>
      </c>
      <c r="BZ86" s="54">
        <v>284</v>
      </c>
      <c r="CA86" s="54">
        <v>303</v>
      </c>
      <c r="CB86" s="54">
        <v>246</v>
      </c>
      <c r="CC86" s="54">
        <v>283</v>
      </c>
      <c r="CD86" s="44">
        <v>261</v>
      </c>
      <c r="CE86" s="54">
        <v>234</v>
      </c>
      <c r="CF86" s="54">
        <v>225</v>
      </c>
      <c r="CG86" s="54">
        <f>209+29</f>
        <v>238</v>
      </c>
      <c r="CH86" s="54">
        <f>207+35</f>
        <v>242</v>
      </c>
      <c r="CI86" s="54">
        <f>213+39</f>
        <v>252</v>
      </c>
      <c r="CJ86" s="54">
        <f>208+23</f>
        <v>231</v>
      </c>
      <c r="CK86" s="54">
        <f>196+28</f>
        <v>224</v>
      </c>
      <c r="CL86" s="54">
        <f>214+34</f>
        <v>248</v>
      </c>
      <c r="CM86" s="54">
        <f>236+22</f>
        <v>258</v>
      </c>
      <c r="CN86" s="54">
        <f>263+38</f>
        <v>301</v>
      </c>
      <c r="CO86" s="54">
        <f>310+40</f>
        <v>350</v>
      </c>
      <c r="CP86" s="54">
        <v>368</v>
      </c>
      <c r="CQ86" s="54">
        <v>358</v>
      </c>
      <c r="CR86" s="55">
        <v>0.64</v>
      </c>
      <c r="CS86" s="55">
        <v>0.69</v>
      </c>
      <c r="CT86" s="55">
        <v>0.59</v>
      </c>
      <c r="CU86" s="55">
        <v>0.82</v>
      </c>
      <c r="CV86" s="55">
        <v>0.91</v>
      </c>
      <c r="CW86" s="64">
        <v>0.76</v>
      </c>
      <c r="CX86" s="64">
        <v>0.73</v>
      </c>
      <c r="CY86" s="55">
        <v>0.85</v>
      </c>
      <c r="CZ86" s="55">
        <v>0.77</v>
      </c>
      <c r="DA86" s="55">
        <v>0.66</v>
      </c>
      <c r="DB86" s="55">
        <v>0.79</v>
      </c>
      <c r="DC86" s="55">
        <v>0.7</v>
      </c>
      <c r="DD86" s="55">
        <v>0.85</v>
      </c>
      <c r="DE86" s="55">
        <v>0.67</v>
      </c>
      <c r="DF86" s="55">
        <v>0.67</v>
      </c>
      <c r="DG86" s="55">
        <v>0.59</v>
      </c>
      <c r="DH86" s="55">
        <v>0.84</v>
      </c>
      <c r="DI86" s="55">
        <v>0.72</v>
      </c>
      <c r="DJ86" s="55">
        <v>0.75</v>
      </c>
      <c r="DK86" s="55">
        <v>0.46153846153846156</v>
      </c>
      <c r="DL86" s="55">
        <v>0.61</v>
      </c>
      <c r="DM86" s="55">
        <v>0.26</v>
      </c>
      <c r="DN86" s="55">
        <v>0.77</v>
      </c>
      <c r="DO86" s="55">
        <v>0.6785714285714286</v>
      </c>
      <c r="DP86" s="55">
        <v>0.5283018867924528</v>
      </c>
      <c r="DQ86" s="55">
        <v>0.6666666666666666</v>
      </c>
      <c r="DR86" s="55">
        <v>0.9464285714285714</v>
      </c>
      <c r="DS86" s="55">
        <v>0.55</v>
      </c>
      <c r="DT86" s="55">
        <v>0.85</v>
      </c>
      <c r="DU86" s="55">
        <v>0.74</v>
      </c>
      <c r="DV86" s="55">
        <v>0.71</v>
      </c>
      <c r="DW86" s="55">
        <v>0.78</v>
      </c>
      <c r="DX86" s="55">
        <v>0.89</v>
      </c>
      <c r="DY86" s="122">
        <v>0.242</v>
      </c>
      <c r="DZ86" s="122">
        <v>1</v>
      </c>
      <c r="EA86" s="124">
        <v>0.71</v>
      </c>
      <c r="EB86" s="124">
        <v>1</v>
      </c>
      <c r="EC86" s="122">
        <v>0.474</v>
      </c>
      <c r="ED86" s="122">
        <v>1</v>
      </c>
      <c r="EE86" s="124">
        <v>0.545</v>
      </c>
      <c r="EF86" s="124">
        <v>0.818</v>
      </c>
      <c r="EG86" s="122">
        <v>0.233</v>
      </c>
      <c r="EH86" s="122">
        <v>0.538</v>
      </c>
      <c r="EI86" s="124">
        <v>0.455</v>
      </c>
      <c r="EJ86" s="124">
        <v>0.938</v>
      </c>
      <c r="EK86" s="122">
        <v>0.333</v>
      </c>
      <c r="EL86" s="122">
        <v>0.857</v>
      </c>
      <c r="EM86" s="124">
        <v>0.359</v>
      </c>
      <c r="EN86" s="124">
        <v>1</v>
      </c>
      <c r="EO86" s="122">
        <v>0.172</v>
      </c>
      <c r="EP86" s="122">
        <v>0.833</v>
      </c>
      <c r="EQ86" s="124">
        <v>0.419</v>
      </c>
      <c r="ER86" s="124">
        <v>0.867</v>
      </c>
      <c r="ES86" s="122">
        <v>0.257</v>
      </c>
      <c r="ET86" s="122">
        <v>0.9</v>
      </c>
      <c r="EU86" s="124">
        <v>0.528</v>
      </c>
      <c r="EV86" s="124">
        <v>1</v>
      </c>
      <c r="EW86" s="122">
        <v>0.154</v>
      </c>
      <c r="EX86" s="122">
        <v>1</v>
      </c>
      <c r="EY86" s="124">
        <v>0.417</v>
      </c>
      <c r="EZ86" s="124">
        <v>0.938</v>
      </c>
      <c r="FA86" s="122">
        <v>0.043</v>
      </c>
      <c r="FB86" s="122">
        <v>1</v>
      </c>
      <c r="FC86" s="124">
        <v>0.343</v>
      </c>
      <c r="FD86" s="124">
        <v>0.6</v>
      </c>
      <c r="FE86" s="122">
        <v>0.036</v>
      </c>
      <c r="FF86" s="122">
        <v>0.167</v>
      </c>
      <c r="FG86" s="124">
        <v>0.075</v>
      </c>
      <c r="FH86" s="124">
        <v>0.2</v>
      </c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  <c r="IV86" s="57"/>
    </row>
    <row r="87" spans="1:256" s="58" customFormat="1" ht="12.75">
      <c r="A87" s="47" t="s">
        <v>26</v>
      </c>
      <c r="B87" s="47" t="s">
        <v>312</v>
      </c>
      <c r="C87" s="39" t="s">
        <v>7</v>
      </c>
      <c r="D87" s="39">
        <v>5053100005</v>
      </c>
      <c r="E87" s="39">
        <v>543100008</v>
      </c>
      <c r="F87" s="26" t="s">
        <v>124</v>
      </c>
      <c r="G87" s="10" t="s">
        <v>318</v>
      </c>
      <c r="H87" s="10" t="s">
        <v>66</v>
      </c>
      <c r="I87" s="10" t="s">
        <v>175</v>
      </c>
      <c r="J87" s="10" t="s">
        <v>171</v>
      </c>
      <c r="K87" s="61">
        <v>1</v>
      </c>
      <c r="L87" s="75" t="s">
        <v>21</v>
      </c>
      <c r="M87" s="62" t="s">
        <v>21</v>
      </c>
      <c r="N87" s="62"/>
      <c r="O87" s="76"/>
      <c r="P87" s="76"/>
      <c r="Q87" s="76"/>
      <c r="R87" s="76"/>
      <c r="S87" s="76"/>
      <c r="T87" s="76"/>
      <c r="U87" s="82"/>
      <c r="V87" s="82"/>
      <c r="W87" s="82"/>
      <c r="X87" s="62">
        <v>0.1111</v>
      </c>
      <c r="Y87" s="86"/>
      <c r="Z87" s="62">
        <v>0.0556</v>
      </c>
      <c r="AA87" s="86"/>
      <c r="AB87" s="62">
        <v>0</v>
      </c>
      <c r="AC87" s="66"/>
      <c r="AD87" s="62">
        <v>0</v>
      </c>
      <c r="AE87" s="84"/>
      <c r="AF87" s="62">
        <v>0.0256</v>
      </c>
      <c r="AG87" s="84"/>
      <c r="AH87" s="62">
        <v>0</v>
      </c>
      <c r="AI87" s="84"/>
      <c r="AJ87" s="80">
        <v>0.0435</v>
      </c>
      <c r="AK87" s="86"/>
      <c r="AL87" s="62">
        <v>0.0833</v>
      </c>
      <c r="AM87" s="86"/>
      <c r="AN87" s="62">
        <v>0.087</v>
      </c>
      <c r="AO87" s="86"/>
      <c r="AP87" s="81">
        <v>0.125</v>
      </c>
      <c r="AQ87" s="86"/>
      <c r="AR87" s="81">
        <v>0.05</v>
      </c>
      <c r="AS87" s="86"/>
      <c r="AT87" s="81">
        <v>0.05128205128205128</v>
      </c>
      <c r="AU87" s="86"/>
      <c r="AV87" s="81">
        <v>0.0625</v>
      </c>
      <c r="AW87" s="86"/>
      <c r="AX87" s="81">
        <v>0</v>
      </c>
      <c r="AY87" s="81">
        <v>0.122</v>
      </c>
      <c r="AZ87" s="86"/>
      <c r="BA87" s="81">
        <v>0.13953488372093023</v>
      </c>
      <c r="BB87" s="81">
        <v>0</v>
      </c>
      <c r="BC87" s="60"/>
      <c r="BD87" s="60"/>
      <c r="BE87" s="60"/>
      <c r="BF87" s="60"/>
      <c r="BG87" s="62">
        <f>X87</f>
        <v>0.1111</v>
      </c>
      <c r="BH87" s="62">
        <f>(Z87+Y87)/2</f>
        <v>0.0278</v>
      </c>
      <c r="BI87" s="62">
        <f>AVERAGE(AA87:AB87)</f>
        <v>0</v>
      </c>
      <c r="BJ87" s="62">
        <f t="shared" si="23"/>
        <v>0</v>
      </c>
      <c r="BK87" s="62">
        <f t="shared" si="24"/>
        <v>0.0256</v>
      </c>
      <c r="BL87" s="62">
        <f t="shared" si="25"/>
        <v>0</v>
      </c>
      <c r="BM87" s="62">
        <f t="shared" si="26"/>
        <v>0.0435</v>
      </c>
      <c r="BN87" s="62">
        <f>AVERAGE(AJ87:AL87)</f>
        <v>0.0634</v>
      </c>
      <c r="BO87" s="62">
        <f t="shared" si="27"/>
        <v>0.087</v>
      </c>
      <c r="BP87" s="62">
        <f t="shared" si="27"/>
        <v>0.087</v>
      </c>
      <c r="BQ87" s="62">
        <f t="shared" si="27"/>
        <v>0.125</v>
      </c>
      <c r="BR87" s="62">
        <f t="shared" si="27"/>
        <v>0.125</v>
      </c>
      <c r="BS87" s="62">
        <f t="shared" si="27"/>
        <v>0.05</v>
      </c>
      <c r="BT87" s="62">
        <f t="shared" si="27"/>
        <v>0.05</v>
      </c>
      <c r="BU87" s="62">
        <f>AVERAGE(AY87:AZ87)</f>
        <v>0.122</v>
      </c>
      <c r="BV87" s="62"/>
      <c r="BW87" s="78"/>
      <c r="BX87" s="54">
        <v>54</v>
      </c>
      <c r="BY87" s="54">
        <v>81</v>
      </c>
      <c r="BZ87" s="54">
        <v>114</v>
      </c>
      <c r="CA87" s="54">
        <v>135</v>
      </c>
      <c r="CB87" s="54">
        <v>105</v>
      </c>
      <c r="CC87" s="65">
        <v>117</v>
      </c>
      <c r="CD87" s="45">
        <v>81</v>
      </c>
      <c r="CE87" s="65">
        <v>84</v>
      </c>
      <c r="CF87" s="65">
        <v>70</v>
      </c>
      <c r="CG87" s="65">
        <v>67</v>
      </c>
      <c r="CH87" s="65">
        <f>81</f>
        <v>81</v>
      </c>
      <c r="CI87" s="65">
        <v>94</v>
      </c>
      <c r="CJ87" s="65">
        <f>114</f>
        <v>114</v>
      </c>
      <c r="CK87" s="65">
        <f>126+0</f>
        <v>126</v>
      </c>
      <c r="CL87" s="65">
        <v>125</v>
      </c>
      <c r="CM87" s="65">
        <f>144+0</f>
        <v>144</v>
      </c>
      <c r="CN87" s="65">
        <f>163+0</f>
        <v>163</v>
      </c>
      <c r="CO87" s="65">
        <v>175</v>
      </c>
      <c r="CP87" s="65">
        <v>172</v>
      </c>
      <c r="CQ87" s="65">
        <v>176</v>
      </c>
      <c r="CR87" s="55">
        <v>0.5</v>
      </c>
      <c r="CS87" s="55">
        <v>0.37</v>
      </c>
      <c r="CT87" s="55">
        <v>0.5</v>
      </c>
      <c r="CU87" s="55">
        <v>0.19</v>
      </c>
      <c r="CV87" s="55">
        <v>0.41</v>
      </c>
      <c r="CW87" s="64">
        <v>0.41</v>
      </c>
      <c r="CX87" s="64">
        <v>0.37</v>
      </c>
      <c r="CY87" s="66"/>
      <c r="CZ87" s="55">
        <v>0.3</v>
      </c>
      <c r="DA87" s="66"/>
      <c r="DB87" s="55">
        <v>0.33</v>
      </c>
      <c r="DC87" s="66"/>
      <c r="DD87" s="55">
        <v>0.48</v>
      </c>
      <c r="DE87" s="66"/>
      <c r="DF87" s="55">
        <v>0.44</v>
      </c>
      <c r="DG87" s="66"/>
      <c r="DH87" s="55">
        <v>0.65</v>
      </c>
      <c r="DI87" s="66"/>
      <c r="DJ87" s="55">
        <v>0.64</v>
      </c>
      <c r="DK87" s="66"/>
      <c r="DL87" s="55">
        <v>0.6</v>
      </c>
      <c r="DM87" s="66"/>
      <c r="DN87" s="55">
        <v>0.46</v>
      </c>
      <c r="DO87" s="66"/>
      <c r="DP87" s="55">
        <v>0.3333333333333333</v>
      </c>
      <c r="DQ87" s="55">
        <v>0.6666666666666666</v>
      </c>
      <c r="DR87" s="55">
        <v>0.5423728813559322</v>
      </c>
      <c r="DS87" s="66"/>
      <c r="DT87" s="55">
        <v>0.68</v>
      </c>
      <c r="DU87" s="66"/>
      <c r="DV87" s="55">
        <v>0.61</v>
      </c>
      <c r="DW87" s="66"/>
      <c r="DX87" s="55">
        <v>0.6</v>
      </c>
      <c r="DY87" s="122" t="s">
        <v>211</v>
      </c>
      <c r="DZ87" s="122" t="s">
        <v>211</v>
      </c>
      <c r="EA87" s="124">
        <v>0.174</v>
      </c>
      <c r="EB87" s="124">
        <v>1</v>
      </c>
      <c r="EC87" s="122" t="s">
        <v>211</v>
      </c>
      <c r="ED87" s="122" t="s">
        <v>211</v>
      </c>
      <c r="EE87" s="124">
        <v>0.167</v>
      </c>
      <c r="EF87" s="124">
        <v>1</v>
      </c>
      <c r="EG87" s="122" t="s">
        <v>211</v>
      </c>
      <c r="EH87" s="122" t="s">
        <v>211</v>
      </c>
      <c r="EI87" s="124">
        <v>0.174</v>
      </c>
      <c r="EJ87" s="124">
        <v>1</v>
      </c>
      <c r="EK87" s="122" t="s">
        <v>211</v>
      </c>
      <c r="EL87" s="122" t="s">
        <v>211</v>
      </c>
      <c r="EM87" s="124">
        <v>0.125</v>
      </c>
      <c r="EN87" s="124">
        <v>0.222</v>
      </c>
      <c r="EO87" s="122" t="s">
        <v>211</v>
      </c>
      <c r="EP87" s="122" t="s">
        <v>211</v>
      </c>
      <c r="EQ87" s="124">
        <v>0.35</v>
      </c>
      <c r="ER87" s="124">
        <v>1</v>
      </c>
      <c r="ES87" s="122" t="s">
        <v>211</v>
      </c>
      <c r="ET87" s="122" t="s">
        <v>211</v>
      </c>
      <c r="EU87" s="124">
        <v>0.308</v>
      </c>
      <c r="EV87" s="124">
        <v>0.923</v>
      </c>
      <c r="EW87" s="135" t="s">
        <v>211</v>
      </c>
      <c r="EX87" s="135" t="s">
        <v>211</v>
      </c>
      <c r="EY87" s="124">
        <v>0.188</v>
      </c>
      <c r="EZ87" s="124">
        <v>0.6</v>
      </c>
      <c r="FA87" s="122" t="s">
        <v>211</v>
      </c>
      <c r="FB87" s="122" t="s">
        <v>211</v>
      </c>
      <c r="FC87" s="124" t="s">
        <v>211</v>
      </c>
      <c r="FD87" s="124" t="s">
        <v>211</v>
      </c>
      <c r="FE87" s="122">
        <v>0.122</v>
      </c>
      <c r="FF87" s="122">
        <v>0.833</v>
      </c>
      <c r="FG87" s="124" t="s">
        <v>211</v>
      </c>
      <c r="FH87" s="124" t="s">
        <v>211</v>
      </c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  <c r="IV87" s="57"/>
    </row>
    <row r="88" spans="1:256" s="58" customFormat="1" ht="12.75">
      <c r="A88" s="47" t="s">
        <v>26</v>
      </c>
      <c r="B88" s="47" t="s">
        <v>312</v>
      </c>
      <c r="C88" s="39" t="s">
        <v>7</v>
      </c>
      <c r="D88" s="39">
        <v>5052300005</v>
      </c>
      <c r="E88" s="39">
        <v>542300005</v>
      </c>
      <c r="F88" s="48" t="s">
        <v>92</v>
      </c>
      <c r="G88" s="10" t="s">
        <v>318</v>
      </c>
      <c r="H88" s="10" t="s">
        <v>67</v>
      </c>
      <c r="I88" s="10" t="s">
        <v>175</v>
      </c>
      <c r="J88" s="10" t="s">
        <v>171</v>
      </c>
      <c r="K88" s="61">
        <v>1</v>
      </c>
      <c r="L88" s="75" t="s">
        <v>22</v>
      </c>
      <c r="M88" s="62" t="s">
        <v>21</v>
      </c>
      <c r="N88" s="62"/>
      <c r="O88" s="76"/>
      <c r="P88" s="76"/>
      <c r="Q88" s="76"/>
      <c r="R88" s="76"/>
      <c r="S88" s="76"/>
      <c r="T88" s="76"/>
      <c r="U88" s="82"/>
      <c r="V88" s="82"/>
      <c r="W88" s="82"/>
      <c r="X88" s="82"/>
      <c r="Y88" s="82"/>
      <c r="Z88" s="82"/>
      <c r="AA88" s="62">
        <v>0.25</v>
      </c>
      <c r="AB88" s="62">
        <v>0.0476</v>
      </c>
      <c r="AC88" s="62">
        <v>0.2286</v>
      </c>
      <c r="AD88" s="62">
        <v>0.1333</v>
      </c>
      <c r="AE88" s="62">
        <v>0.3611</v>
      </c>
      <c r="AF88" s="62">
        <v>0.2759</v>
      </c>
      <c r="AG88" s="62">
        <v>0.1667</v>
      </c>
      <c r="AH88" s="62">
        <v>0.0625</v>
      </c>
      <c r="AI88" s="62">
        <v>0.2413793103448276</v>
      </c>
      <c r="AJ88" s="62">
        <v>0.09090909090909091</v>
      </c>
      <c r="AK88" s="80">
        <v>0.2424</v>
      </c>
      <c r="AL88" s="62">
        <v>0.1765</v>
      </c>
      <c r="AM88" s="62">
        <v>0.2222</v>
      </c>
      <c r="AN88" s="62">
        <v>0.125</v>
      </c>
      <c r="AO88" s="62">
        <v>0.25</v>
      </c>
      <c r="AP88" s="81">
        <v>0.0455</v>
      </c>
      <c r="AQ88" s="81">
        <v>0.28</v>
      </c>
      <c r="AR88" s="81">
        <v>0.20588235294117646</v>
      </c>
      <c r="AS88" s="81">
        <v>0.37142857142857144</v>
      </c>
      <c r="AT88" s="81">
        <v>0</v>
      </c>
      <c r="AU88" s="81">
        <v>0.5526315789473685</v>
      </c>
      <c r="AV88" s="81">
        <v>0.38095238095238093</v>
      </c>
      <c r="AW88" s="81">
        <v>0.5556</v>
      </c>
      <c r="AX88" s="81">
        <v>0.3421</v>
      </c>
      <c r="AY88" s="81">
        <v>0.5079</v>
      </c>
      <c r="AZ88" s="81">
        <v>0.4483</v>
      </c>
      <c r="BA88" s="81">
        <v>0.3870967741935484</v>
      </c>
      <c r="BB88" s="81">
        <v>0.3171</v>
      </c>
      <c r="BC88" s="60"/>
      <c r="BD88" s="60"/>
      <c r="BE88" s="60"/>
      <c r="BF88" s="60"/>
      <c r="BG88" s="62"/>
      <c r="BH88" s="62"/>
      <c r="BI88" s="62">
        <f>AVERAGE(AA88:AB88)</f>
        <v>0.1488</v>
      </c>
      <c r="BJ88" s="62">
        <f t="shared" si="23"/>
        <v>0.18095</v>
      </c>
      <c r="BK88" s="62">
        <f t="shared" si="24"/>
        <v>0.3185</v>
      </c>
      <c r="BL88" s="62">
        <f t="shared" si="25"/>
        <v>0.1146</v>
      </c>
      <c r="BM88" s="62">
        <f t="shared" si="26"/>
        <v>0.16614420062695925</v>
      </c>
      <c r="BN88" s="62">
        <f>AVERAGE(AK88:AL88)</f>
        <v>0.20945</v>
      </c>
      <c r="BO88" s="62">
        <f t="shared" si="27"/>
        <v>0.1736</v>
      </c>
      <c r="BP88" s="62">
        <f t="shared" si="27"/>
        <v>0.1875</v>
      </c>
      <c r="BQ88" s="62">
        <f t="shared" si="27"/>
        <v>0.14775</v>
      </c>
      <c r="BR88" s="62">
        <f t="shared" si="27"/>
        <v>0.16275</v>
      </c>
      <c r="BS88" s="62">
        <f t="shared" si="27"/>
        <v>0.24294117647058824</v>
      </c>
      <c r="BT88" s="62">
        <f t="shared" si="27"/>
        <v>0.2886554621848739</v>
      </c>
      <c r="BU88" s="62">
        <f>AVERAGE(AY88:AZ88)</f>
        <v>0.47809999999999997</v>
      </c>
      <c r="BV88" s="62"/>
      <c r="BW88" s="78"/>
      <c r="BX88" s="78"/>
      <c r="BY88" s="54">
        <v>57</v>
      </c>
      <c r="BZ88" s="54">
        <v>101</v>
      </c>
      <c r="CA88" s="54">
        <v>151</v>
      </c>
      <c r="CB88" s="54">
        <v>160</v>
      </c>
      <c r="CC88" s="54">
        <v>182</v>
      </c>
      <c r="CD88" s="44">
        <v>189</v>
      </c>
      <c r="CE88" s="54">
        <v>190</v>
      </c>
      <c r="CF88" s="54">
        <v>175</v>
      </c>
      <c r="CG88" s="54">
        <f>155+36</f>
        <v>191</v>
      </c>
      <c r="CH88" s="54">
        <f>159+30</f>
        <v>189</v>
      </c>
      <c r="CI88" s="54">
        <f>181+42</f>
        <v>223</v>
      </c>
      <c r="CJ88" s="54">
        <f>219+39</f>
        <v>258</v>
      </c>
      <c r="CK88" s="54">
        <f>270+58</f>
        <v>328</v>
      </c>
      <c r="CL88" s="54">
        <f>326+41</f>
        <v>367</v>
      </c>
      <c r="CM88" s="54">
        <f>360+42</f>
        <v>402</v>
      </c>
      <c r="CN88" s="54">
        <f>394+70</f>
        <v>464</v>
      </c>
      <c r="CO88" s="54">
        <f>405+71</f>
        <v>476</v>
      </c>
      <c r="CP88" s="54">
        <v>473</v>
      </c>
      <c r="CQ88" s="54">
        <v>408</v>
      </c>
      <c r="CR88" s="76"/>
      <c r="CS88" s="55">
        <v>0.78</v>
      </c>
      <c r="CT88" s="55">
        <v>0.71</v>
      </c>
      <c r="CU88" s="55">
        <v>0.81</v>
      </c>
      <c r="CV88" s="55">
        <v>0.78</v>
      </c>
      <c r="CW88" s="64">
        <v>0.69</v>
      </c>
      <c r="CX88" s="64">
        <v>0.69</v>
      </c>
      <c r="CY88" s="55">
        <v>0.91</v>
      </c>
      <c r="CZ88" s="55">
        <v>0.79</v>
      </c>
      <c r="DA88" s="55">
        <v>0.71</v>
      </c>
      <c r="DB88" s="55">
        <v>0.78</v>
      </c>
      <c r="DC88" s="55">
        <v>0.5</v>
      </c>
      <c r="DD88" s="55">
        <v>0.79</v>
      </c>
      <c r="DE88" s="55">
        <v>0.45</v>
      </c>
      <c r="DF88" s="55">
        <v>0.6</v>
      </c>
      <c r="DG88" s="55">
        <v>0.76</v>
      </c>
      <c r="DH88" s="55">
        <v>0.69</v>
      </c>
      <c r="DI88" s="55">
        <v>0.67</v>
      </c>
      <c r="DJ88" s="55">
        <v>0.84</v>
      </c>
      <c r="DK88" s="55">
        <v>0.7619047619047619</v>
      </c>
      <c r="DL88" s="55">
        <v>0.81</v>
      </c>
      <c r="DM88" s="55">
        <v>0.68</v>
      </c>
      <c r="DN88" s="55">
        <v>0.78</v>
      </c>
      <c r="DO88" s="55">
        <v>0.8103448275862069</v>
      </c>
      <c r="DP88" s="55">
        <v>0.7333333333333333</v>
      </c>
      <c r="DQ88" s="55">
        <v>0.7560975609756098</v>
      </c>
      <c r="DR88" s="55">
        <v>0.8412698412698413</v>
      </c>
      <c r="DS88" s="55">
        <v>0.59</v>
      </c>
      <c r="DT88" s="55">
        <v>0.68</v>
      </c>
      <c r="DU88" s="55">
        <v>0.46</v>
      </c>
      <c r="DV88" s="55">
        <v>0.55</v>
      </c>
      <c r="DW88" s="55">
        <v>0.6268656716417911</v>
      </c>
      <c r="DX88" s="55">
        <v>0.66</v>
      </c>
      <c r="DY88" s="122">
        <v>0.414</v>
      </c>
      <c r="DZ88" s="122">
        <v>1</v>
      </c>
      <c r="EA88" s="124">
        <v>0.364</v>
      </c>
      <c r="EB88" s="124">
        <v>1</v>
      </c>
      <c r="EC88" s="122">
        <v>0.364</v>
      </c>
      <c r="ED88" s="122">
        <v>1</v>
      </c>
      <c r="EE88" s="124">
        <v>0.294</v>
      </c>
      <c r="EF88" s="124">
        <v>1</v>
      </c>
      <c r="EG88" s="122">
        <v>0.63</v>
      </c>
      <c r="EH88" s="122">
        <v>0.773</v>
      </c>
      <c r="EI88" s="124">
        <v>0.25</v>
      </c>
      <c r="EJ88" s="124">
        <v>0.5</v>
      </c>
      <c r="EK88" s="122">
        <v>0.458</v>
      </c>
      <c r="EL88" s="122">
        <v>0.688</v>
      </c>
      <c r="EM88" s="124">
        <v>0.227</v>
      </c>
      <c r="EN88" s="124">
        <v>1</v>
      </c>
      <c r="EO88" s="122">
        <v>0.44</v>
      </c>
      <c r="EP88" s="122">
        <v>0.917</v>
      </c>
      <c r="EQ88" s="124">
        <v>0.441</v>
      </c>
      <c r="ER88" s="124">
        <v>1</v>
      </c>
      <c r="ES88" s="122">
        <v>0.429</v>
      </c>
      <c r="ET88" s="122">
        <v>1</v>
      </c>
      <c r="EU88" s="124">
        <v>0.3</v>
      </c>
      <c r="EV88" s="124">
        <v>1</v>
      </c>
      <c r="EW88" s="122">
        <v>0.737</v>
      </c>
      <c r="EX88" s="122">
        <v>1</v>
      </c>
      <c r="EY88" s="124">
        <v>0.548</v>
      </c>
      <c r="EZ88" s="124">
        <v>0.958</v>
      </c>
      <c r="FA88" s="122">
        <v>0.583</v>
      </c>
      <c r="FB88" s="122">
        <v>0.955</v>
      </c>
      <c r="FC88" s="124">
        <v>0.395</v>
      </c>
      <c r="FD88" s="124">
        <v>0.789</v>
      </c>
      <c r="FE88" s="122">
        <v>0.46</v>
      </c>
      <c r="FF88" s="122">
        <v>0.725</v>
      </c>
      <c r="FG88" s="124">
        <v>0.397</v>
      </c>
      <c r="FH88" s="124">
        <v>0.821</v>
      </c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  <c r="IV88" s="57"/>
    </row>
    <row r="89" spans="1:256" s="58" customFormat="1" ht="12.75">
      <c r="A89" s="47" t="s">
        <v>26</v>
      </c>
      <c r="B89" s="47" t="s">
        <v>312</v>
      </c>
      <c r="C89" s="39" t="s">
        <v>7</v>
      </c>
      <c r="D89" s="39">
        <v>5052100008</v>
      </c>
      <c r="E89" s="39">
        <v>542100018</v>
      </c>
      <c r="F89" s="26" t="s">
        <v>93</v>
      </c>
      <c r="G89" s="10" t="s">
        <v>318</v>
      </c>
      <c r="H89" s="10" t="s">
        <v>67</v>
      </c>
      <c r="I89" s="10" t="s">
        <v>175</v>
      </c>
      <c r="J89" s="10" t="s">
        <v>171</v>
      </c>
      <c r="K89" s="61">
        <v>1</v>
      </c>
      <c r="L89" s="75" t="s">
        <v>22</v>
      </c>
      <c r="M89" s="62" t="s">
        <v>21</v>
      </c>
      <c r="N89" s="62"/>
      <c r="O89" s="76"/>
      <c r="P89" s="76"/>
      <c r="Q89" s="76"/>
      <c r="R89" s="76"/>
      <c r="S89" s="76"/>
      <c r="T89" s="76"/>
      <c r="U89" s="82"/>
      <c r="V89" s="82"/>
      <c r="W89" s="82"/>
      <c r="X89" s="82"/>
      <c r="Y89" s="82"/>
      <c r="Z89" s="82"/>
      <c r="AA89" s="82"/>
      <c r="AB89" s="82" t="s">
        <v>73</v>
      </c>
      <c r="AC89" s="82"/>
      <c r="AD89" s="62">
        <v>0.1765</v>
      </c>
      <c r="AE89" s="62">
        <v>0.125</v>
      </c>
      <c r="AF89" s="62">
        <v>0.1538</v>
      </c>
      <c r="AG89" s="84"/>
      <c r="AH89" s="62">
        <v>0.1176</v>
      </c>
      <c r="AI89" s="84"/>
      <c r="AJ89" s="62">
        <v>0.041666666666666664</v>
      </c>
      <c r="AK89" s="92"/>
      <c r="AL89" s="62">
        <v>0.07692307692307693</v>
      </c>
      <c r="AM89" s="86"/>
      <c r="AN89" s="62">
        <v>0.125</v>
      </c>
      <c r="AO89" s="86"/>
      <c r="AP89" s="81">
        <v>0.030303030303030304</v>
      </c>
      <c r="AQ89" s="86"/>
      <c r="AR89" s="81">
        <v>0.038461538461538464</v>
      </c>
      <c r="AS89" s="86"/>
      <c r="AT89" s="81">
        <v>0</v>
      </c>
      <c r="AU89" s="86"/>
      <c r="AV89" s="81">
        <v>0</v>
      </c>
      <c r="AW89" s="86"/>
      <c r="AX89" s="81">
        <v>0</v>
      </c>
      <c r="AY89" s="81">
        <v>0.0857</v>
      </c>
      <c r="AZ89" s="86"/>
      <c r="BA89" s="81">
        <v>0.05660377358490566</v>
      </c>
      <c r="BB89" s="86"/>
      <c r="BC89" s="60"/>
      <c r="BD89" s="60"/>
      <c r="BE89" s="60"/>
      <c r="BF89" s="60"/>
      <c r="BG89" s="62"/>
      <c r="BH89" s="62"/>
      <c r="BI89" s="62"/>
      <c r="BJ89" s="62">
        <f t="shared" si="23"/>
        <v>0.1765</v>
      </c>
      <c r="BK89" s="62">
        <f t="shared" si="24"/>
        <v>0.1394</v>
      </c>
      <c r="BL89" s="62">
        <f t="shared" si="25"/>
        <v>0.1176</v>
      </c>
      <c r="BM89" s="62">
        <f t="shared" si="26"/>
        <v>0.041666666666666664</v>
      </c>
      <c r="BN89" s="62">
        <f>AVERAGE(AK89:AL89)</f>
        <v>0.07692307692307693</v>
      </c>
      <c r="BO89" s="62">
        <f t="shared" si="27"/>
        <v>0.125</v>
      </c>
      <c r="BP89" s="62">
        <f t="shared" si="27"/>
        <v>0.125</v>
      </c>
      <c r="BQ89" s="62">
        <f t="shared" si="27"/>
        <v>0.030303030303030304</v>
      </c>
      <c r="BR89" s="62">
        <f t="shared" si="27"/>
        <v>0.030303030303030304</v>
      </c>
      <c r="BS89" s="62">
        <f t="shared" si="27"/>
        <v>0.038461538461538464</v>
      </c>
      <c r="BT89" s="62">
        <f t="shared" si="27"/>
        <v>0.038461538461538464</v>
      </c>
      <c r="BU89" s="62">
        <f>AVERAGE(AY89:AY89)</f>
        <v>0.0857</v>
      </c>
      <c r="BV89" s="62"/>
      <c r="BW89" s="78"/>
      <c r="BX89" s="78"/>
      <c r="BY89" s="78"/>
      <c r="BZ89" s="78"/>
      <c r="CA89" s="54">
        <v>27</v>
      </c>
      <c r="CB89" s="54">
        <v>34</v>
      </c>
      <c r="CC89" s="54">
        <v>45</v>
      </c>
      <c r="CD89" s="44">
        <v>55</v>
      </c>
      <c r="CE89" s="54">
        <v>52</v>
      </c>
      <c r="CF89" s="54">
        <v>58</v>
      </c>
      <c r="CG89" s="54">
        <v>65</v>
      </c>
      <c r="CH89" s="54">
        <v>53</v>
      </c>
      <c r="CI89" s="54">
        <v>59</v>
      </c>
      <c r="CJ89" s="54">
        <f>82</f>
        <v>82</v>
      </c>
      <c r="CK89" s="54">
        <f>103+0</f>
        <v>103</v>
      </c>
      <c r="CL89" s="54">
        <v>116</v>
      </c>
      <c r="CM89" s="54">
        <f>126+0</f>
        <v>126</v>
      </c>
      <c r="CN89" s="54">
        <f>157+1</f>
        <v>158</v>
      </c>
      <c r="CO89" s="54">
        <v>134</v>
      </c>
      <c r="CP89" s="54">
        <v>195</v>
      </c>
      <c r="CQ89" s="54">
        <v>177</v>
      </c>
      <c r="CR89" s="76"/>
      <c r="CS89" s="76"/>
      <c r="CT89" s="76"/>
      <c r="CU89" s="55">
        <v>0.71</v>
      </c>
      <c r="CV89" s="55">
        <v>0.62</v>
      </c>
      <c r="CW89" s="64">
        <v>0.62</v>
      </c>
      <c r="CX89" s="64">
        <v>0.41</v>
      </c>
      <c r="CY89" s="66"/>
      <c r="CZ89" s="55">
        <v>0.42</v>
      </c>
      <c r="DA89" s="66"/>
      <c r="DB89" s="55">
        <v>0.62</v>
      </c>
      <c r="DC89" s="66"/>
      <c r="DD89" s="55">
        <v>0.56</v>
      </c>
      <c r="DE89" s="66"/>
      <c r="DF89" s="55">
        <v>0.12</v>
      </c>
      <c r="DG89" s="66"/>
      <c r="DH89" s="55">
        <v>0.46</v>
      </c>
      <c r="DI89" s="66"/>
      <c r="DJ89" s="55">
        <v>0.41</v>
      </c>
      <c r="DK89" s="66"/>
      <c r="DL89" s="55">
        <v>0.41</v>
      </c>
      <c r="DM89" s="66"/>
      <c r="DN89" s="55">
        <v>0.63</v>
      </c>
      <c r="DO89" s="66"/>
      <c r="DP89" s="55">
        <v>0.41509433962264153</v>
      </c>
      <c r="DQ89" s="66"/>
      <c r="DR89" s="55">
        <v>0.46153846153846156</v>
      </c>
      <c r="DS89" s="66"/>
      <c r="DT89" s="55">
        <v>0.37</v>
      </c>
      <c r="DU89" s="66"/>
      <c r="DV89" s="55">
        <v>0.7</v>
      </c>
      <c r="DW89" s="66"/>
      <c r="DX89" s="55">
        <v>0.57</v>
      </c>
      <c r="DY89" s="133">
        <v>0.083</v>
      </c>
      <c r="DZ89" s="133">
        <v>0.667</v>
      </c>
      <c r="EA89" s="124" t="s">
        <v>211</v>
      </c>
      <c r="EB89" s="124" t="s">
        <v>211</v>
      </c>
      <c r="EC89" s="133">
        <v>0.077</v>
      </c>
      <c r="ED89" s="133">
        <v>0.333</v>
      </c>
      <c r="EE89" s="124" t="s">
        <v>211</v>
      </c>
      <c r="EF89" s="124" t="s">
        <v>211</v>
      </c>
      <c r="EG89" s="133">
        <v>0.25</v>
      </c>
      <c r="EH89" s="133">
        <v>0.8</v>
      </c>
      <c r="EI89" s="124" t="s">
        <v>211</v>
      </c>
      <c r="EJ89" s="124" t="s">
        <v>211</v>
      </c>
      <c r="EK89" s="133">
        <v>0.061</v>
      </c>
      <c r="EL89" s="133">
        <v>0.667</v>
      </c>
      <c r="EM89" s="124" t="s">
        <v>211</v>
      </c>
      <c r="EN89" s="124" t="s">
        <v>211</v>
      </c>
      <c r="EO89" s="133">
        <v>0.231</v>
      </c>
      <c r="EP89" s="133">
        <v>1</v>
      </c>
      <c r="EQ89" s="124" t="s">
        <v>211</v>
      </c>
      <c r="ER89" s="124" t="s">
        <v>211</v>
      </c>
      <c r="ES89" s="133">
        <v>0.231</v>
      </c>
      <c r="ET89" s="133">
        <v>1</v>
      </c>
      <c r="EU89" s="124" t="s">
        <v>211</v>
      </c>
      <c r="EV89" s="124" t="s">
        <v>211</v>
      </c>
      <c r="EW89" s="133">
        <v>0.207</v>
      </c>
      <c r="EX89" s="133">
        <v>1</v>
      </c>
      <c r="EY89" s="124" t="s">
        <v>211</v>
      </c>
      <c r="EZ89" s="124" t="s">
        <v>211</v>
      </c>
      <c r="FA89" s="133">
        <v>0.174</v>
      </c>
      <c r="FB89" s="133">
        <v>1</v>
      </c>
      <c r="FC89" s="124" t="s">
        <v>211</v>
      </c>
      <c r="FD89" s="124" t="s">
        <v>211</v>
      </c>
      <c r="FE89" s="122">
        <v>0.143</v>
      </c>
      <c r="FF89" s="122">
        <v>0.625</v>
      </c>
      <c r="FG89" s="124" t="s">
        <v>211</v>
      </c>
      <c r="FH89" s="124" t="s">
        <v>211</v>
      </c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  <c r="IV89" s="57"/>
    </row>
    <row r="90" spans="1:164" s="57" customFormat="1" ht="12.75">
      <c r="A90" s="47" t="s">
        <v>26</v>
      </c>
      <c r="B90" s="47" t="s">
        <v>312</v>
      </c>
      <c r="C90" s="39" t="s">
        <v>7</v>
      </c>
      <c r="D90" s="39">
        <v>5073100009</v>
      </c>
      <c r="E90" s="39">
        <v>553100010</v>
      </c>
      <c r="F90" s="26" t="s">
        <v>94</v>
      </c>
      <c r="G90" s="10" t="s">
        <v>318</v>
      </c>
      <c r="H90" s="10" t="s">
        <v>67</v>
      </c>
      <c r="I90" s="10" t="s">
        <v>163</v>
      </c>
      <c r="J90" s="10" t="s">
        <v>169</v>
      </c>
      <c r="K90" s="61">
        <v>1</v>
      </c>
      <c r="L90" s="75" t="s">
        <v>22</v>
      </c>
      <c r="M90" s="62" t="s">
        <v>21</v>
      </c>
      <c r="N90" s="62"/>
      <c r="O90" s="76"/>
      <c r="P90" s="76"/>
      <c r="Q90" s="76"/>
      <c r="R90" s="76"/>
      <c r="S90" s="76"/>
      <c r="T90" s="76"/>
      <c r="U90" s="82"/>
      <c r="V90" s="82"/>
      <c r="W90" s="82"/>
      <c r="X90" s="82"/>
      <c r="Y90" s="82"/>
      <c r="Z90" s="82"/>
      <c r="AA90" s="82"/>
      <c r="AB90" s="82"/>
      <c r="AC90" s="82"/>
      <c r="AD90" s="62">
        <v>0.274</v>
      </c>
      <c r="AE90" s="62">
        <v>0.1644</v>
      </c>
      <c r="AF90" s="62">
        <v>0.3274</v>
      </c>
      <c r="AG90" s="62">
        <v>0.2029</v>
      </c>
      <c r="AH90" s="62">
        <v>0.2222</v>
      </c>
      <c r="AI90" s="62">
        <v>0.2328767123287671</v>
      </c>
      <c r="AJ90" s="62">
        <v>0.35</v>
      </c>
      <c r="AK90" s="80">
        <v>0.14492753623188406</v>
      </c>
      <c r="AL90" s="62">
        <v>0.3787878787878788</v>
      </c>
      <c r="AM90" s="62">
        <v>0.23529411764705882</v>
      </c>
      <c r="AN90" s="62">
        <v>0.3225806451612903</v>
      </c>
      <c r="AO90" s="62">
        <v>0.1323529411764706</v>
      </c>
      <c r="AP90" s="81">
        <v>0.2</v>
      </c>
      <c r="AQ90" s="81">
        <v>0.14705882352941177</v>
      </c>
      <c r="AR90" s="81">
        <v>0.10869565217391304</v>
      </c>
      <c r="AS90" s="81">
        <v>0.08653846153846154</v>
      </c>
      <c r="AT90" s="81">
        <v>0.1134020618556701</v>
      </c>
      <c r="AU90" s="81">
        <v>0.10476190476190476</v>
      </c>
      <c r="AV90" s="81">
        <v>0.06741573033707865</v>
      </c>
      <c r="AW90" s="81">
        <v>0.1238</v>
      </c>
      <c r="AX90" s="88" t="s">
        <v>211</v>
      </c>
      <c r="AY90" s="81">
        <v>0.1579</v>
      </c>
      <c r="AZ90" s="81">
        <v>0.1402</v>
      </c>
      <c r="BA90" s="81">
        <v>0.11956521739130435</v>
      </c>
      <c r="BB90" s="81">
        <v>0.1682</v>
      </c>
      <c r="BC90" s="60"/>
      <c r="BD90" s="60"/>
      <c r="BE90" s="60"/>
      <c r="BF90" s="60"/>
      <c r="BG90" s="62"/>
      <c r="BH90" s="62"/>
      <c r="BI90" s="62"/>
      <c r="BJ90" s="62">
        <f t="shared" si="23"/>
        <v>0.274</v>
      </c>
      <c r="BK90" s="62">
        <f t="shared" si="24"/>
        <v>0.2459</v>
      </c>
      <c r="BL90" s="62">
        <f t="shared" si="25"/>
        <v>0.21255000000000002</v>
      </c>
      <c r="BM90" s="62">
        <f t="shared" si="26"/>
        <v>0.2914383561643835</v>
      </c>
      <c r="BN90" s="62">
        <f>AVERAGE(AK90:AL90)</f>
        <v>0.2618577075098814</v>
      </c>
      <c r="BO90" s="62">
        <f t="shared" si="27"/>
        <v>0.27893738140417457</v>
      </c>
      <c r="BP90" s="62">
        <f t="shared" si="27"/>
        <v>0.22746679316888047</v>
      </c>
      <c r="BQ90" s="62">
        <f t="shared" si="27"/>
        <v>0.16617647058823531</v>
      </c>
      <c r="BR90" s="62">
        <f t="shared" si="27"/>
        <v>0.17352941176470588</v>
      </c>
      <c r="BS90" s="62">
        <f t="shared" si="27"/>
        <v>0.1278772378516624</v>
      </c>
      <c r="BT90" s="62">
        <f t="shared" si="27"/>
        <v>0.0976170568561873</v>
      </c>
      <c r="BU90" s="62">
        <f>AVERAGE(AY90:AZ90)</f>
        <v>0.14905000000000002</v>
      </c>
      <c r="BV90" s="62"/>
      <c r="BW90" s="78"/>
      <c r="BX90" s="78"/>
      <c r="BY90" s="78"/>
      <c r="BZ90" s="78"/>
      <c r="CA90" s="54">
        <v>147</v>
      </c>
      <c r="CB90" s="54">
        <v>292</v>
      </c>
      <c r="CC90" s="54">
        <v>401</v>
      </c>
      <c r="CD90" s="44">
        <v>501</v>
      </c>
      <c r="CE90" s="54">
        <v>582</v>
      </c>
      <c r="CF90" s="54">
        <v>628</v>
      </c>
      <c r="CG90" s="54">
        <f>549+103</f>
        <v>652</v>
      </c>
      <c r="CH90" s="54">
        <f>583+104</f>
        <v>687</v>
      </c>
      <c r="CI90" s="54">
        <f>624+105</f>
        <v>729</v>
      </c>
      <c r="CJ90" s="54">
        <f>668+108</f>
        <v>776</v>
      </c>
      <c r="CK90" s="54">
        <f>718+108</f>
        <v>826</v>
      </c>
      <c r="CL90" s="54">
        <f>754+120</f>
        <v>874</v>
      </c>
      <c r="CM90" s="54">
        <f>811+143</f>
        <v>954</v>
      </c>
      <c r="CN90" s="54">
        <f>820+124</f>
        <v>944</v>
      </c>
      <c r="CO90" s="54">
        <f>834+124</f>
        <v>958</v>
      </c>
      <c r="CP90" s="54">
        <v>980</v>
      </c>
      <c r="CQ90" s="54">
        <v>876</v>
      </c>
      <c r="CR90" s="76"/>
      <c r="CS90" s="76"/>
      <c r="CT90" s="76"/>
      <c r="CU90" s="55">
        <v>0.73</v>
      </c>
      <c r="CV90" s="55">
        <v>0.88</v>
      </c>
      <c r="CW90" s="64">
        <v>0.88</v>
      </c>
      <c r="CX90" s="64">
        <v>0.94</v>
      </c>
      <c r="CY90" s="55">
        <v>0.75</v>
      </c>
      <c r="CZ90" s="55">
        <v>0.82</v>
      </c>
      <c r="DA90" s="55">
        <v>0.8</v>
      </c>
      <c r="DB90" s="55">
        <v>0.88</v>
      </c>
      <c r="DC90" s="55">
        <v>0.79</v>
      </c>
      <c r="DD90" s="55">
        <v>0.87</v>
      </c>
      <c r="DE90" s="55">
        <v>0.81</v>
      </c>
      <c r="DF90" s="55">
        <v>0.85</v>
      </c>
      <c r="DG90" s="55">
        <v>0.75</v>
      </c>
      <c r="DH90" s="55">
        <v>0.78</v>
      </c>
      <c r="DI90" s="55">
        <v>0.73</v>
      </c>
      <c r="DJ90" s="55">
        <v>0.85</v>
      </c>
      <c r="DK90" s="55">
        <v>0.819047619047619</v>
      </c>
      <c r="DL90" s="55">
        <v>0.75</v>
      </c>
      <c r="DM90" s="55">
        <v>0.76</v>
      </c>
      <c r="DN90" s="55">
        <v>0.93</v>
      </c>
      <c r="DO90" s="55">
        <v>0.8411214953271028</v>
      </c>
      <c r="DP90" s="55">
        <v>0.8043478260869565</v>
      </c>
      <c r="DQ90" s="55">
        <v>0.7431192660550459</v>
      </c>
      <c r="DR90" s="55">
        <v>0.7575757575757576</v>
      </c>
      <c r="DS90" s="55">
        <v>0.74</v>
      </c>
      <c r="DT90" s="55">
        <v>0.97</v>
      </c>
      <c r="DU90" s="55">
        <v>1</v>
      </c>
      <c r="DV90" s="55">
        <v>0.76</v>
      </c>
      <c r="DW90" s="55">
        <v>0.7054263565891473</v>
      </c>
      <c r="DX90" s="55">
        <v>0.72</v>
      </c>
      <c r="DY90" s="122">
        <v>0.521</v>
      </c>
      <c r="DZ90" s="122">
        <v>1</v>
      </c>
      <c r="EA90" s="124">
        <v>0.6</v>
      </c>
      <c r="EB90" s="124">
        <v>1</v>
      </c>
      <c r="EC90" s="122">
        <v>0.609</v>
      </c>
      <c r="ED90" s="122">
        <v>0.977</v>
      </c>
      <c r="EE90" s="124">
        <v>0.682</v>
      </c>
      <c r="EF90" s="124">
        <v>1</v>
      </c>
      <c r="EG90" s="122">
        <v>0.412</v>
      </c>
      <c r="EH90" s="122">
        <v>0.903</v>
      </c>
      <c r="EI90" s="124">
        <v>0.597</v>
      </c>
      <c r="EJ90" s="124">
        <v>0.925</v>
      </c>
      <c r="EK90" s="122">
        <v>0.441</v>
      </c>
      <c r="EL90" s="122">
        <v>1</v>
      </c>
      <c r="EM90" s="124">
        <v>0.6</v>
      </c>
      <c r="EN90" s="124">
        <v>0.9</v>
      </c>
      <c r="EO90" s="122">
        <v>0.49</v>
      </c>
      <c r="EP90" s="122">
        <v>0.926</v>
      </c>
      <c r="EQ90" s="124">
        <v>0.424</v>
      </c>
      <c r="ER90" s="124">
        <v>1</v>
      </c>
      <c r="ES90" s="122">
        <v>0.481</v>
      </c>
      <c r="ET90" s="122">
        <v>1</v>
      </c>
      <c r="EU90" s="124">
        <v>0.5</v>
      </c>
      <c r="EV90" s="124">
        <v>0.942</v>
      </c>
      <c r="EW90" s="122">
        <v>0.514</v>
      </c>
      <c r="EX90" s="122">
        <v>0.931</v>
      </c>
      <c r="EY90" s="124">
        <v>0.416</v>
      </c>
      <c r="EZ90" s="124">
        <v>0.902</v>
      </c>
      <c r="FA90" s="122">
        <v>0.314</v>
      </c>
      <c r="FB90" s="122">
        <v>0.767</v>
      </c>
      <c r="FC90" s="124" t="s">
        <v>211</v>
      </c>
      <c r="FD90" s="124" t="s">
        <v>211</v>
      </c>
      <c r="FE90" s="122">
        <v>0.242</v>
      </c>
      <c r="FF90" s="122">
        <v>0.426</v>
      </c>
      <c r="FG90" s="124">
        <v>0.075</v>
      </c>
      <c r="FH90" s="124">
        <v>0.205</v>
      </c>
    </row>
    <row r="91" spans="1:256" s="58" customFormat="1" ht="12.75">
      <c r="A91" s="47" t="s">
        <v>26</v>
      </c>
      <c r="B91" s="47" t="s">
        <v>312</v>
      </c>
      <c r="C91" s="39" t="s">
        <v>7</v>
      </c>
      <c r="D91" s="39">
        <v>5073200022</v>
      </c>
      <c r="E91" s="39">
        <v>553200036</v>
      </c>
      <c r="F91" s="26" t="s">
        <v>95</v>
      </c>
      <c r="G91" s="10" t="s">
        <v>318</v>
      </c>
      <c r="H91" s="10" t="s">
        <v>67</v>
      </c>
      <c r="I91" s="10" t="s">
        <v>163</v>
      </c>
      <c r="J91" s="10" t="s">
        <v>169</v>
      </c>
      <c r="K91" s="61">
        <v>1</v>
      </c>
      <c r="L91" s="75" t="s">
        <v>22</v>
      </c>
      <c r="M91" s="62" t="s">
        <v>21</v>
      </c>
      <c r="N91" s="62"/>
      <c r="O91" s="76"/>
      <c r="P91" s="76"/>
      <c r="Q91" s="76"/>
      <c r="R91" s="76"/>
      <c r="S91" s="76"/>
      <c r="T91" s="76"/>
      <c r="U91" s="82"/>
      <c r="V91" s="82"/>
      <c r="W91" s="82"/>
      <c r="X91" s="82"/>
      <c r="Y91" s="82"/>
      <c r="Z91" s="82"/>
      <c r="AA91" s="82"/>
      <c r="AB91" s="82"/>
      <c r="AC91" s="82"/>
      <c r="AD91" s="94"/>
      <c r="AE91" s="94"/>
      <c r="AF91" s="62">
        <v>0.6428571428571429</v>
      </c>
      <c r="AG91" s="62">
        <v>0.16666666666666666</v>
      </c>
      <c r="AH91" s="62">
        <v>0.45454545454545453</v>
      </c>
      <c r="AI91" s="62">
        <v>0.1891891891891892</v>
      </c>
      <c r="AJ91" s="62">
        <v>0.14814814814814814</v>
      </c>
      <c r="AK91" s="80">
        <v>0.2</v>
      </c>
      <c r="AL91" s="62">
        <v>0.375</v>
      </c>
      <c r="AM91" s="62">
        <v>0.15789473684210525</v>
      </c>
      <c r="AN91" s="62">
        <v>0.25925925925925924</v>
      </c>
      <c r="AO91" s="95">
        <v>0.047619047619047616</v>
      </c>
      <c r="AP91" s="96">
        <v>0.3142857142857143</v>
      </c>
      <c r="AQ91" s="96">
        <v>0.11538461538461539</v>
      </c>
      <c r="AR91" s="96">
        <v>0.109375</v>
      </c>
      <c r="AS91" s="96">
        <v>0.20987654320987653</v>
      </c>
      <c r="AT91" s="96">
        <v>0.44155844155844154</v>
      </c>
      <c r="AU91" s="96">
        <v>0.12345679012345678</v>
      </c>
      <c r="AV91" s="96">
        <v>0.2857142857142857</v>
      </c>
      <c r="AW91" s="96">
        <v>0.1667</v>
      </c>
      <c r="AX91" s="96">
        <v>0.3929</v>
      </c>
      <c r="AY91" s="96">
        <v>0.2174</v>
      </c>
      <c r="AZ91" s="96">
        <v>0.3478</v>
      </c>
      <c r="BA91" s="96">
        <v>0.24761904761904763</v>
      </c>
      <c r="BB91" s="96">
        <v>0.1481</v>
      </c>
      <c r="BC91" s="60"/>
      <c r="BD91" s="60"/>
      <c r="BE91" s="60"/>
      <c r="BF91" s="60"/>
      <c r="BG91" s="62"/>
      <c r="BH91" s="62"/>
      <c r="BI91" s="62"/>
      <c r="BJ91" s="62"/>
      <c r="BK91" s="62"/>
      <c r="BL91" s="62">
        <f t="shared" si="25"/>
        <v>0.3106060606060606</v>
      </c>
      <c r="BM91" s="62">
        <f t="shared" si="26"/>
        <v>0.16866866866866867</v>
      </c>
      <c r="BN91" s="62">
        <f>AVERAGE(AK91:AL91)</f>
        <v>0.2875</v>
      </c>
      <c r="BO91" s="62">
        <f t="shared" si="27"/>
        <v>0.20857699805068225</v>
      </c>
      <c r="BP91" s="62">
        <f t="shared" si="27"/>
        <v>0.15343915343915343</v>
      </c>
      <c r="BQ91" s="62">
        <f t="shared" si="27"/>
        <v>0.18095238095238095</v>
      </c>
      <c r="BR91" s="62">
        <f t="shared" si="27"/>
        <v>0.21483516483516485</v>
      </c>
      <c r="BS91" s="62">
        <f t="shared" si="27"/>
        <v>0.1123798076923077</v>
      </c>
      <c r="BT91" s="62">
        <f t="shared" si="27"/>
        <v>0.15962577160493827</v>
      </c>
      <c r="BU91" s="62">
        <f>AVERAGE(AY91:AZ91)</f>
        <v>0.2826</v>
      </c>
      <c r="BV91" s="62"/>
      <c r="BW91" s="78"/>
      <c r="BX91" s="78"/>
      <c r="BY91" s="78"/>
      <c r="BZ91" s="78"/>
      <c r="CA91" s="78"/>
      <c r="CB91" s="54">
        <v>67</v>
      </c>
      <c r="CC91" s="54">
        <v>120</v>
      </c>
      <c r="CD91" s="44">
        <v>160</v>
      </c>
      <c r="CE91" s="54">
        <v>211</v>
      </c>
      <c r="CF91" s="54">
        <v>253</v>
      </c>
      <c r="CG91" s="54">
        <f>231+80</f>
        <v>311</v>
      </c>
      <c r="CH91" s="54">
        <f>320+83</f>
        <v>403</v>
      </c>
      <c r="CI91" s="54">
        <f>409+82</f>
        <v>491</v>
      </c>
      <c r="CJ91" s="54">
        <f>482+79</f>
        <v>561</v>
      </c>
      <c r="CK91" s="54">
        <f>532+119</f>
        <v>651</v>
      </c>
      <c r="CL91" s="54">
        <f>631+120</f>
        <v>751</v>
      </c>
      <c r="CM91" s="54">
        <f>683+166</f>
        <v>849</v>
      </c>
      <c r="CN91" s="54">
        <f>741+148</f>
        <v>889</v>
      </c>
      <c r="CO91" s="54">
        <f>800+139</f>
        <v>939</v>
      </c>
      <c r="CP91" s="54">
        <v>935</v>
      </c>
      <c r="CQ91" s="54">
        <v>831</v>
      </c>
      <c r="CR91" s="76"/>
      <c r="CS91" s="76"/>
      <c r="CT91" s="76"/>
      <c r="CU91" s="76"/>
      <c r="CV91" s="55">
        <v>0.93</v>
      </c>
      <c r="CW91" s="64">
        <v>0.58</v>
      </c>
      <c r="CX91" s="64">
        <v>0.95</v>
      </c>
      <c r="CY91" s="55">
        <v>0.73</v>
      </c>
      <c r="CZ91" s="55">
        <v>1</v>
      </c>
      <c r="DA91" s="55">
        <v>0.83</v>
      </c>
      <c r="DB91" s="55">
        <v>0.96</v>
      </c>
      <c r="DC91" s="55">
        <v>0.84</v>
      </c>
      <c r="DD91" s="55">
        <v>0.85</v>
      </c>
      <c r="DE91" s="55">
        <v>0.74</v>
      </c>
      <c r="DF91" s="55">
        <v>0.71</v>
      </c>
      <c r="DG91" s="55">
        <v>0.79</v>
      </c>
      <c r="DH91" s="55">
        <v>0.88</v>
      </c>
      <c r="DI91" s="55">
        <v>0.84</v>
      </c>
      <c r="DJ91" s="55">
        <v>0.77</v>
      </c>
      <c r="DK91" s="55">
        <v>0.7654320987654321</v>
      </c>
      <c r="DL91" s="55">
        <v>0.69</v>
      </c>
      <c r="DM91" s="55">
        <v>0.88</v>
      </c>
      <c r="DN91" s="55">
        <v>0.95</v>
      </c>
      <c r="DO91" s="55">
        <v>0.782608695652174</v>
      </c>
      <c r="DP91" s="55">
        <v>0.8152173913043478</v>
      </c>
      <c r="DQ91" s="55">
        <v>0.8095238095238095</v>
      </c>
      <c r="DR91" s="55">
        <v>0.7592592592592593</v>
      </c>
      <c r="DS91" s="55">
        <v>0.76</v>
      </c>
      <c r="DT91" s="55">
        <v>0.73</v>
      </c>
      <c r="DU91" s="55">
        <v>0.73</v>
      </c>
      <c r="DV91" s="55">
        <v>0.83</v>
      </c>
      <c r="DW91" s="55">
        <v>0.7196969696969697</v>
      </c>
      <c r="DX91" s="55">
        <v>0.81</v>
      </c>
      <c r="DY91" s="122">
        <v>0.378</v>
      </c>
      <c r="DZ91" s="122">
        <v>1</v>
      </c>
      <c r="EA91" s="124">
        <v>0.556</v>
      </c>
      <c r="EB91" s="124">
        <v>1</v>
      </c>
      <c r="EC91" s="122">
        <v>0.233</v>
      </c>
      <c r="ED91" s="122">
        <v>1</v>
      </c>
      <c r="EE91" s="124">
        <v>0.708</v>
      </c>
      <c r="EF91" s="124">
        <v>1</v>
      </c>
      <c r="EG91" s="122">
        <v>0.474</v>
      </c>
      <c r="EH91" s="122">
        <v>1</v>
      </c>
      <c r="EI91" s="124">
        <v>0.556</v>
      </c>
      <c r="EJ91" s="124">
        <v>0.75</v>
      </c>
      <c r="EK91" s="122">
        <v>0.381</v>
      </c>
      <c r="EL91" s="122">
        <v>1</v>
      </c>
      <c r="EM91" s="124">
        <v>0.6</v>
      </c>
      <c r="EN91" s="124">
        <v>1</v>
      </c>
      <c r="EO91" s="122">
        <v>0.487</v>
      </c>
      <c r="EP91" s="122">
        <v>1</v>
      </c>
      <c r="EQ91" s="124">
        <v>0.656</v>
      </c>
      <c r="ER91" s="124">
        <v>1</v>
      </c>
      <c r="ES91" s="122">
        <v>0.519</v>
      </c>
      <c r="ET91" s="122">
        <v>1</v>
      </c>
      <c r="EU91" s="124">
        <v>0.623</v>
      </c>
      <c r="EV91" s="124">
        <v>1</v>
      </c>
      <c r="EW91" s="122">
        <v>0.432</v>
      </c>
      <c r="EX91" s="122">
        <v>0.745</v>
      </c>
      <c r="EY91" s="124">
        <v>0.455</v>
      </c>
      <c r="EZ91" s="124">
        <v>0.778</v>
      </c>
      <c r="FA91" s="122">
        <v>0.333</v>
      </c>
      <c r="FB91" s="122">
        <v>0.65</v>
      </c>
      <c r="FC91" s="124">
        <v>0.464</v>
      </c>
      <c r="FD91" s="124">
        <v>0.788</v>
      </c>
      <c r="FE91" s="122">
        <v>0.191</v>
      </c>
      <c r="FF91" s="122">
        <v>0.489</v>
      </c>
      <c r="FG91" s="124">
        <v>0.033</v>
      </c>
      <c r="FH91" s="124">
        <v>0.061</v>
      </c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  <c r="IV91" s="57"/>
    </row>
    <row r="92" spans="1:256" s="58" customFormat="1" ht="12.75">
      <c r="A92" s="47" t="s">
        <v>26</v>
      </c>
      <c r="B92" s="47" t="s">
        <v>312</v>
      </c>
      <c r="C92" s="39" t="s">
        <v>7</v>
      </c>
      <c r="D92" s="39">
        <v>5061100004</v>
      </c>
      <c r="E92" s="39">
        <v>544100044</v>
      </c>
      <c r="F92" s="26" t="s">
        <v>180</v>
      </c>
      <c r="G92" s="10" t="s">
        <v>318</v>
      </c>
      <c r="H92" s="10"/>
      <c r="I92" s="10"/>
      <c r="J92" s="10"/>
      <c r="K92" s="61"/>
      <c r="L92" s="75"/>
      <c r="M92" s="83"/>
      <c r="N92" s="62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7"/>
      <c r="AL92" s="76"/>
      <c r="AM92" s="76"/>
      <c r="AN92" s="76"/>
      <c r="AO92" s="76"/>
      <c r="AP92" s="76"/>
      <c r="AQ92" s="76"/>
      <c r="AR92" s="76"/>
      <c r="AS92" s="76"/>
      <c r="AT92" s="76"/>
      <c r="AU92" s="81">
        <v>0.28431372549019607</v>
      </c>
      <c r="AV92" s="81">
        <v>0.4461538461538462</v>
      </c>
      <c r="AW92" s="81">
        <v>0.2125</v>
      </c>
      <c r="AX92" s="81">
        <v>0.124</v>
      </c>
      <c r="AY92" s="81">
        <v>0.2188</v>
      </c>
      <c r="AZ92" s="81">
        <v>0.2791</v>
      </c>
      <c r="BA92" s="81">
        <v>0.23529411764705882</v>
      </c>
      <c r="BB92" s="81">
        <v>0.3566</v>
      </c>
      <c r="BC92" s="60"/>
      <c r="BD92" s="60"/>
      <c r="BE92" s="60"/>
      <c r="BF92" s="60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f>AVERAGE(AY92:AZ92)</f>
        <v>0.24895</v>
      </c>
      <c r="BV92" s="62"/>
      <c r="BW92" s="61"/>
      <c r="BX92" s="54"/>
      <c r="BY92" s="54"/>
      <c r="BZ92" s="54"/>
      <c r="CA92" s="54"/>
      <c r="CB92" s="54"/>
      <c r="CC92" s="54"/>
      <c r="CD92" s="44"/>
      <c r="CE92" s="54"/>
      <c r="CF92" s="54"/>
      <c r="CG92" s="54"/>
      <c r="CH92" s="54"/>
      <c r="CI92" s="54">
        <v>101</v>
      </c>
      <c r="CJ92" s="54">
        <f>205+81</f>
        <v>286</v>
      </c>
      <c r="CK92" s="54">
        <f>365+97</f>
        <v>462</v>
      </c>
      <c r="CL92" s="54">
        <f>489+87</f>
        <v>576</v>
      </c>
      <c r="CM92" s="54">
        <f>614+81</f>
        <v>695</v>
      </c>
      <c r="CN92" s="54">
        <f>680+62</f>
        <v>742</v>
      </c>
      <c r="CO92" s="54">
        <f>667+81</f>
        <v>748</v>
      </c>
      <c r="CP92" s="54">
        <v>758</v>
      </c>
      <c r="CQ92" s="54">
        <v>655</v>
      </c>
      <c r="CR92" s="55"/>
      <c r="CS92" s="55"/>
      <c r="CT92" s="55"/>
      <c r="CU92" s="55"/>
      <c r="CV92" s="55"/>
      <c r="CW92" s="64"/>
      <c r="CX92" s="64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>
        <v>0.6764705882352942</v>
      </c>
      <c r="DL92" s="55">
        <v>0.73</v>
      </c>
      <c r="DM92" s="55">
        <v>0.75</v>
      </c>
      <c r="DN92" s="55">
        <v>0.69</v>
      </c>
      <c r="DO92" s="55">
        <v>0.5833333333333334</v>
      </c>
      <c r="DP92" s="55">
        <v>0.6976744186046512</v>
      </c>
      <c r="DQ92" s="55">
        <v>0.6352941176470588</v>
      </c>
      <c r="DR92" s="55">
        <v>0.5804195804195804</v>
      </c>
      <c r="DS92" s="55">
        <v>0.63</v>
      </c>
      <c r="DT92" s="55">
        <v>0.61</v>
      </c>
      <c r="DU92" s="55">
        <v>0.62</v>
      </c>
      <c r="DV92" s="55">
        <v>0.66</v>
      </c>
      <c r="DW92" s="55">
        <v>0.6805555555555556</v>
      </c>
      <c r="DX92" s="55">
        <v>0.77</v>
      </c>
      <c r="DY92" s="122" t="s">
        <v>211</v>
      </c>
      <c r="DZ92" s="122" t="s">
        <v>211</v>
      </c>
      <c r="EA92" s="124" t="s">
        <v>211</v>
      </c>
      <c r="EB92" s="124" t="s">
        <v>211</v>
      </c>
      <c r="EC92" s="122" t="s">
        <v>211</v>
      </c>
      <c r="ED92" s="122" t="s">
        <v>211</v>
      </c>
      <c r="EE92" s="124" t="s">
        <v>211</v>
      </c>
      <c r="EF92" s="124" t="s">
        <v>211</v>
      </c>
      <c r="EG92" s="122" t="s">
        <v>211</v>
      </c>
      <c r="EH92" s="122" t="s">
        <v>211</v>
      </c>
      <c r="EI92" s="124" t="s">
        <v>211</v>
      </c>
      <c r="EJ92" s="124" t="s">
        <v>211</v>
      </c>
      <c r="EK92" s="122" t="s">
        <v>211</v>
      </c>
      <c r="EL92" s="122" t="s">
        <v>211</v>
      </c>
      <c r="EM92" s="124" t="s">
        <v>211</v>
      </c>
      <c r="EN92" s="124" t="s">
        <v>211</v>
      </c>
      <c r="EO92" s="122" t="s">
        <v>211</v>
      </c>
      <c r="EP92" s="122" t="s">
        <v>211</v>
      </c>
      <c r="EQ92" s="124" t="s">
        <v>211</v>
      </c>
      <c r="ER92" s="124" t="s">
        <v>211</v>
      </c>
      <c r="ES92" s="122" t="s">
        <v>211</v>
      </c>
      <c r="ET92" s="122" t="s">
        <v>211</v>
      </c>
      <c r="EU92" s="124" t="s">
        <v>211</v>
      </c>
      <c r="EV92" s="124" t="s">
        <v>211</v>
      </c>
      <c r="EW92" s="122">
        <v>0.176</v>
      </c>
      <c r="EX92" s="122">
        <v>0.391</v>
      </c>
      <c r="EY92" s="124">
        <v>0.354</v>
      </c>
      <c r="EZ92" s="124">
        <v>0.613</v>
      </c>
      <c r="FA92" s="122">
        <v>0.163</v>
      </c>
      <c r="FB92" s="122">
        <v>0.333</v>
      </c>
      <c r="FC92" s="124">
        <v>0.264</v>
      </c>
      <c r="FD92" s="124">
        <v>1</v>
      </c>
      <c r="FE92" s="122">
        <v>0.125</v>
      </c>
      <c r="FF92" s="122">
        <v>0.333</v>
      </c>
      <c r="FG92" s="124">
        <v>0.07</v>
      </c>
      <c r="FH92" s="124">
        <v>0.161</v>
      </c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</row>
    <row r="93" spans="1:256" s="58" customFormat="1" ht="12.75">
      <c r="A93" s="47" t="s">
        <v>26</v>
      </c>
      <c r="B93" s="47" t="s">
        <v>312</v>
      </c>
      <c r="C93" s="39" t="s">
        <v>7</v>
      </c>
      <c r="D93" s="39">
        <v>5071300079</v>
      </c>
      <c r="E93" s="39">
        <v>551300273</v>
      </c>
      <c r="F93" s="26" t="s">
        <v>181</v>
      </c>
      <c r="G93" s="10" t="s">
        <v>318</v>
      </c>
      <c r="H93" s="10"/>
      <c r="I93" s="10"/>
      <c r="J93" s="10"/>
      <c r="K93" s="61"/>
      <c r="L93" s="75"/>
      <c r="M93" s="83"/>
      <c r="N93" s="62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7"/>
      <c r="AL93" s="76"/>
      <c r="AM93" s="76"/>
      <c r="AN93" s="76"/>
      <c r="AO93" s="76"/>
      <c r="AP93" s="76"/>
      <c r="AQ93" s="76"/>
      <c r="AR93" s="76"/>
      <c r="AS93" s="76"/>
      <c r="AT93" s="76"/>
      <c r="AU93" s="81">
        <v>0.25806451612903225</v>
      </c>
      <c r="AV93" s="81">
        <v>0.4423076923076923</v>
      </c>
      <c r="AW93" s="81">
        <v>0.1026</v>
      </c>
      <c r="AX93" s="81">
        <v>0.3836</v>
      </c>
      <c r="AY93" s="81">
        <v>0.2308</v>
      </c>
      <c r="AZ93" s="81">
        <v>0.3016</v>
      </c>
      <c r="BA93" s="81">
        <v>0.2692307692307692</v>
      </c>
      <c r="BB93" s="81">
        <v>0.26</v>
      </c>
      <c r="BC93" s="60"/>
      <c r="BD93" s="60"/>
      <c r="BE93" s="60"/>
      <c r="BF93" s="60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f>AVERAGE(AY93:AZ93)</f>
        <v>0.2662</v>
      </c>
      <c r="BV93" s="62"/>
      <c r="BW93" s="61"/>
      <c r="BX93" s="54"/>
      <c r="BY93" s="54"/>
      <c r="BZ93" s="54"/>
      <c r="CA93" s="54"/>
      <c r="CB93" s="54"/>
      <c r="CC93" s="54"/>
      <c r="CD93" s="44"/>
      <c r="CE93" s="54"/>
      <c r="CF93" s="54"/>
      <c r="CG93" s="54"/>
      <c r="CH93" s="54"/>
      <c r="CI93" s="54">
        <v>31</v>
      </c>
      <c r="CJ93" s="54">
        <f>72+39</f>
        <v>111</v>
      </c>
      <c r="CK93" s="54">
        <f>174+40</f>
        <v>214</v>
      </c>
      <c r="CL93" s="54">
        <f>212+27</f>
        <v>239</v>
      </c>
      <c r="CM93" s="54">
        <f>248+30</f>
        <v>278</v>
      </c>
      <c r="CN93" s="54">
        <f>281+38</f>
        <v>319</v>
      </c>
      <c r="CO93" s="54">
        <f>329+53</f>
        <v>382</v>
      </c>
      <c r="CP93" s="54">
        <v>399</v>
      </c>
      <c r="CQ93" s="54">
        <v>398</v>
      </c>
      <c r="CR93" s="55"/>
      <c r="CS93" s="55"/>
      <c r="CT93" s="55"/>
      <c r="CU93" s="55"/>
      <c r="CV93" s="55"/>
      <c r="CW93" s="64"/>
      <c r="CX93" s="64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>
        <v>0.45161290322580644</v>
      </c>
      <c r="DL93" s="55">
        <v>0.73</v>
      </c>
      <c r="DM93" s="55">
        <v>0.67</v>
      </c>
      <c r="DN93" s="55">
        <v>0.51</v>
      </c>
      <c r="DO93" s="55">
        <v>0.5641025641025641</v>
      </c>
      <c r="DP93" s="55">
        <v>0.6507936507936508</v>
      </c>
      <c r="DQ93" s="55">
        <v>0.6538461538461539</v>
      </c>
      <c r="DR93" s="55">
        <v>0.64</v>
      </c>
      <c r="DS93" s="55">
        <v>0.48</v>
      </c>
      <c r="DT93" s="55">
        <v>0.8</v>
      </c>
      <c r="DU93" s="55">
        <v>0.86</v>
      </c>
      <c r="DV93" s="55">
        <v>0.79</v>
      </c>
      <c r="DW93" s="55">
        <v>0.8085106382978723</v>
      </c>
      <c r="DX93" s="55">
        <v>0.85</v>
      </c>
      <c r="DY93" s="122" t="s">
        <v>211</v>
      </c>
      <c r="DZ93" s="122" t="s">
        <v>211</v>
      </c>
      <c r="EA93" s="124" t="s">
        <v>211</v>
      </c>
      <c r="EB93" s="124" t="s">
        <v>211</v>
      </c>
      <c r="EC93" s="122" t="s">
        <v>211</v>
      </c>
      <c r="ED93" s="122" t="s">
        <v>211</v>
      </c>
      <c r="EE93" s="124" t="s">
        <v>211</v>
      </c>
      <c r="EF93" s="124" t="s">
        <v>211</v>
      </c>
      <c r="EG93" s="122" t="s">
        <v>211</v>
      </c>
      <c r="EH93" s="122" t="s">
        <v>211</v>
      </c>
      <c r="EI93" s="124" t="s">
        <v>211</v>
      </c>
      <c r="EJ93" s="124" t="s">
        <v>211</v>
      </c>
      <c r="EK93" s="122" t="s">
        <v>211</v>
      </c>
      <c r="EL93" s="122" t="s">
        <v>211</v>
      </c>
      <c r="EM93" s="124" t="s">
        <v>211</v>
      </c>
      <c r="EN93" s="124" t="s">
        <v>211</v>
      </c>
      <c r="EO93" s="122" t="s">
        <v>211</v>
      </c>
      <c r="EP93" s="122" t="s">
        <v>211</v>
      </c>
      <c r="EQ93" s="124" t="s">
        <v>211</v>
      </c>
      <c r="ER93" s="124" t="s">
        <v>211</v>
      </c>
      <c r="ES93" s="122" t="s">
        <v>211</v>
      </c>
      <c r="ET93" s="122" t="s">
        <v>211</v>
      </c>
      <c r="EU93" s="124" t="s">
        <v>211</v>
      </c>
      <c r="EV93" s="124" t="s">
        <v>211</v>
      </c>
      <c r="EW93" s="122">
        <v>0.129</v>
      </c>
      <c r="EX93" s="122">
        <v>0.364</v>
      </c>
      <c r="EY93" s="124">
        <v>0.346</v>
      </c>
      <c r="EZ93" s="124">
        <v>0.6</v>
      </c>
      <c r="FA93" s="122">
        <v>0.051</v>
      </c>
      <c r="FB93" s="122">
        <v>0.436</v>
      </c>
      <c r="FC93" s="124">
        <v>0.192</v>
      </c>
      <c r="FD93" s="124">
        <v>0.534</v>
      </c>
      <c r="FE93" s="122">
        <v>0.103</v>
      </c>
      <c r="FF93" s="122">
        <v>0.25</v>
      </c>
      <c r="FG93" s="124">
        <v>0.111</v>
      </c>
      <c r="FH93" s="124">
        <v>0.35</v>
      </c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7"/>
    </row>
    <row r="94" spans="1:256" s="58" customFormat="1" ht="12.75">
      <c r="A94" s="47" t="s">
        <v>26</v>
      </c>
      <c r="B94" s="47" t="s">
        <v>312</v>
      </c>
      <c r="C94" s="39" t="s">
        <v>7</v>
      </c>
      <c r="D94" s="39">
        <v>5062100049</v>
      </c>
      <c r="E94" s="39">
        <v>551700126</v>
      </c>
      <c r="F94" s="26" t="s">
        <v>186</v>
      </c>
      <c r="G94" s="10" t="s">
        <v>318</v>
      </c>
      <c r="H94" s="10"/>
      <c r="I94" s="10"/>
      <c r="J94" s="10"/>
      <c r="K94" s="61"/>
      <c r="L94" s="75"/>
      <c r="M94" s="83"/>
      <c r="N94" s="62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7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81">
        <v>0.2833333333333333</v>
      </c>
      <c r="AW94" s="81">
        <v>0.3171</v>
      </c>
      <c r="AX94" s="81">
        <v>0.3626</v>
      </c>
      <c r="AY94" s="81">
        <v>0.3878</v>
      </c>
      <c r="AZ94" s="81">
        <v>0.2568</v>
      </c>
      <c r="BA94" s="81">
        <v>0.3225806451612903</v>
      </c>
      <c r="BB94" s="81">
        <v>0.2875</v>
      </c>
      <c r="BC94" s="60"/>
      <c r="BD94" s="60"/>
      <c r="BE94" s="60"/>
      <c r="BF94" s="60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f>AVERAGE(AY94:AZ94)</f>
        <v>0.3223</v>
      </c>
      <c r="BV94" s="62"/>
      <c r="BW94" s="61"/>
      <c r="BX94" s="54"/>
      <c r="BY94" s="54"/>
      <c r="BZ94" s="54"/>
      <c r="CA94" s="54"/>
      <c r="CB94" s="54"/>
      <c r="CC94" s="54"/>
      <c r="CD94" s="44"/>
      <c r="CE94" s="54"/>
      <c r="CF94" s="54"/>
      <c r="CG94" s="54"/>
      <c r="CH94" s="54"/>
      <c r="CI94" s="54"/>
      <c r="CJ94" s="54">
        <f>62+41</f>
        <v>103</v>
      </c>
      <c r="CK94" s="54">
        <f>184+49</f>
        <v>233</v>
      </c>
      <c r="CL94" s="54">
        <f>255+32</f>
        <v>287</v>
      </c>
      <c r="CM94" s="54">
        <f>329+47</f>
        <v>376</v>
      </c>
      <c r="CN94" s="54">
        <f>393+38</f>
        <v>431</v>
      </c>
      <c r="CO94" s="54">
        <f>431+47</f>
        <v>478</v>
      </c>
      <c r="CP94" s="54">
        <v>443</v>
      </c>
      <c r="CQ94" s="54">
        <v>393</v>
      </c>
      <c r="CR94" s="55"/>
      <c r="CS94" s="55"/>
      <c r="CT94" s="55"/>
      <c r="CU94" s="55"/>
      <c r="CV94" s="55"/>
      <c r="CW94" s="64"/>
      <c r="CX94" s="64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66"/>
      <c r="DL94" s="55">
        <v>0.78</v>
      </c>
      <c r="DM94" s="55">
        <v>0.8</v>
      </c>
      <c r="DN94" s="55">
        <v>0.69</v>
      </c>
      <c r="DO94" s="55">
        <v>0.673469387755102</v>
      </c>
      <c r="DP94" s="55">
        <v>0.7567567567567568</v>
      </c>
      <c r="DQ94" s="55">
        <v>0.6774193548387096</v>
      </c>
      <c r="DR94" s="55">
        <v>0.9</v>
      </c>
      <c r="DS94" s="55">
        <v>0.58</v>
      </c>
      <c r="DT94" s="55">
        <v>0.88</v>
      </c>
      <c r="DU94" s="55">
        <v>0.75</v>
      </c>
      <c r="DV94" s="55">
        <v>0.88</v>
      </c>
      <c r="DW94" s="55">
        <v>0.8666666666666667</v>
      </c>
      <c r="DX94" s="55">
        <v>0.86</v>
      </c>
      <c r="DY94" s="122" t="s">
        <v>211</v>
      </c>
      <c r="DZ94" s="122" t="s">
        <v>211</v>
      </c>
      <c r="EA94" s="124" t="s">
        <v>211</v>
      </c>
      <c r="EB94" s="124" t="s">
        <v>211</v>
      </c>
      <c r="EC94" s="122" t="s">
        <v>211</v>
      </c>
      <c r="ED94" s="122" t="s">
        <v>211</v>
      </c>
      <c r="EE94" s="124" t="s">
        <v>211</v>
      </c>
      <c r="EF94" s="124" t="s">
        <v>211</v>
      </c>
      <c r="EG94" s="122" t="s">
        <v>211</v>
      </c>
      <c r="EH94" s="122" t="s">
        <v>211</v>
      </c>
      <c r="EI94" s="124" t="s">
        <v>211</v>
      </c>
      <c r="EJ94" s="124" t="s">
        <v>211</v>
      </c>
      <c r="EK94" s="122" t="s">
        <v>211</v>
      </c>
      <c r="EL94" s="122" t="s">
        <v>211</v>
      </c>
      <c r="EM94" s="124" t="s">
        <v>211</v>
      </c>
      <c r="EN94" s="124" t="s">
        <v>211</v>
      </c>
      <c r="EO94" s="122" t="s">
        <v>211</v>
      </c>
      <c r="EP94" s="122" t="s">
        <v>211</v>
      </c>
      <c r="EQ94" s="124" t="s">
        <v>211</v>
      </c>
      <c r="ER94" s="124" t="s">
        <v>211</v>
      </c>
      <c r="ES94" s="131" t="s">
        <v>211</v>
      </c>
      <c r="ET94" s="131" t="s">
        <v>211</v>
      </c>
      <c r="EU94" s="124" t="s">
        <v>211</v>
      </c>
      <c r="EV94" s="124" t="s">
        <v>211</v>
      </c>
      <c r="EW94" s="131" t="s">
        <v>211</v>
      </c>
      <c r="EX94" s="131" t="s">
        <v>211</v>
      </c>
      <c r="EY94" s="124">
        <v>0.317</v>
      </c>
      <c r="EZ94" s="124">
        <v>0.594</v>
      </c>
      <c r="FA94" s="122">
        <v>0.22</v>
      </c>
      <c r="FB94" s="122">
        <v>0.346</v>
      </c>
      <c r="FC94" s="124">
        <v>0.341</v>
      </c>
      <c r="FD94" s="124">
        <v>0.721</v>
      </c>
      <c r="FE94" s="122">
        <v>0.245</v>
      </c>
      <c r="FF94" s="122">
        <v>0.48</v>
      </c>
      <c r="FG94" s="124">
        <v>0.176</v>
      </c>
      <c r="FH94" s="124">
        <v>0.325</v>
      </c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</row>
    <row r="95" spans="1:256" s="58" customFormat="1" ht="12.75">
      <c r="A95" s="47" t="s">
        <v>26</v>
      </c>
      <c r="B95" s="47" t="s">
        <v>312</v>
      </c>
      <c r="C95" s="14" t="s">
        <v>7</v>
      </c>
      <c r="D95" s="37"/>
      <c r="E95" s="39"/>
      <c r="F95" s="27" t="s">
        <v>96</v>
      </c>
      <c r="G95" s="10" t="s">
        <v>318</v>
      </c>
      <c r="H95" s="10" t="s">
        <v>66</v>
      </c>
      <c r="I95" s="10" t="s">
        <v>175</v>
      </c>
      <c r="J95" s="10" t="s">
        <v>169</v>
      </c>
      <c r="K95" s="61"/>
      <c r="L95" s="100"/>
      <c r="M95" s="83"/>
      <c r="N95" s="62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76"/>
      <c r="AF95" s="76"/>
      <c r="AG95" s="76"/>
      <c r="AH95" s="76"/>
      <c r="AI95" s="76"/>
      <c r="AJ95" s="76"/>
      <c r="AK95" s="77"/>
      <c r="AL95" s="62"/>
      <c r="AM95" s="62"/>
      <c r="AN95" s="62"/>
      <c r="AO95" s="62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6"/>
      <c r="BD95" s="6"/>
      <c r="BE95" s="6"/>
      <c r="BF95" s="6"/>
      <c r="BG95" s="10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18"/>
      <c r="BX95" s="13">
        <v>27</v>
      </c>
      <c r="BY95" s="13">
        <v>3</v>
      </c>
      <c r="BZ95" s="13">
        <v>3</v>
      </c>
      <c r="CA95" s="15"/>
      <c r="CB95" s="15"/>
      <c r="CC95" s="67"/>
      <c r="CD95" s="136"/>
      <c r="CE95" s="67"/>
      <c r="CF95" s="137"/>
      <c r="CG95" s="137"/>
      <c r="CH95" s="137"/>
      <c r="CI95" s="137"/>
      <c r="CJ95" s="137"/>
      <c r="CK95" s="129"/>
      <c r="CL95" s="129"/>
      <c r="CM95" s="129"/>
      <c r="CN95" s="129">
        <v>0</v>
      </c>
      <c r="CO95" s="129"/>
      <c r="CP95" s="129"/>
      <c r="CQ95" s="129"/>
      <c r="CR95" s="17"/>
      <c r="CS95" s="17"/>
      <c r="CT95" s="17"/>
      <c r="CU95" s="17"/>
      <c r="CV95" s="17"/>
      <c r="CW95" s="17"/>
      <c r="CX95" s="17"/>
      <c r="CY95" s="17"/>
      <c r="CZ95" s="55"/>
      <c r="DA95" s="55"/>
      <c r="DB95" s="55"/>
      <c r="DC95" s="66"/>
      <c r="DD95" s="66"/>
      <c r="DE95" s="66"/>
      <c r="DF95" s="66"/>
      <c r="DG95" s="66"/>
      <c r="DH95" s="66"/>
      <c r="DI95" s="66"/>
      <c r="DJ95" s="66"/>
      <c r="DK95" s="66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22" t="s">
        <v>211</v>
      </c>
      <c r="DZ95" s="122" t="s">
        <v>211</v>
      </c>
      <c r="EA95" s="124" t="s">
        <v>211</v>
      </c>
      <c r="EB95" s="124" t="s">
        <v>211</v>
      </c>
      <c r="EC95" s="122" t="s">
        <v>211</v>
      </c>
      <c r="ED95" s="122" t="s">
        <v>211</v>
      </c>
      <c r="EE95" s="124" t="s">
        <v>211</v>
      </c>
      <c r="EF95" s="124" t="s">
        <v>211</v>
      </c>
      <c r="EG95" s="122" t="s">
        <v>211</v>
      </c>
      <c r="EH95" s="122" t="s">
        <v>211</v>
      </c>
      <c r="EI95" s="124" t="s">
        <v>211</v>
      </c>
      <c r="EJ95" s="124" t="s">
        <v>211</v>
      </c>
      <c r="EK95" s="122" t="s">
        <v>211</v>
      </c>
      <c r="EL95" s="122" t="s">
        <v>211</v>
      </c>
      <c r="EM95" s="124" t="s">
        <v>211</v>
      </c>
      <c r="EN95" s="124" t="s">
        <v>211</v>
      </c>
      <c r="EO95" s="122" t="s">
        <v>211</v>
      </c>
      <c r="EP95" s="122" t="s">
        <v>211</v>
      </c>
      <c r="EQ95" s="124" t="s">
        <v>211</v>
      </c>
      <c r="ER95" s="124" t="s">
        <v>211</v>
      </c>
      <c r="ES95" s="131" t="s">
        <v>211</v>
      </c>
      <c r="ET95" s="131" t="s">
        <v>211</v>
      </c>
      <c r="EU95" s="132" t="s">
        <v>211</v>
      </c>
      <c r="EV95" s="132" t="s">
        <v>211</v>
      </c>
      <c r="EW95" s="131" t="s">
        <v>211</v>
      </c>
      <c r="EX95" s="131" t="s">
        <v>211</v>
      </c>
      <c r="EY95" s="132" t="s">
        <v>211</v>
      </c>
      <c r="EZ95" s="132" t="s">
        <v>211</v>
      </c>
      <c r="FA95" s="131" t="s">
        <v>211</v>
      </c>
      <c r="FB95" s="131" t="s">
        <v>211</v>
      </c>
      <c r="FC95" s="132" t="s">
        <v>211</v>
      </c>
      <c r="FD95" s="132" t="s">
        <v>211</v>
      </c>
      <c r="FE95" s="131" t="s">
        <v>211</v>
      </c>
      <c r="FF95" s="131" t="s">
        <v>211</v>
      </c>
      <c r="FG95" s="132" t="s">
        <v>211</v>
      </c>
      <c r="FH95" s="132" t="s">
        <v>211</v>
      </c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  <c r="IV95" s="57"/>
    </row>
    <row r="96" spans="1:256" s="58" customFormat="1" ht="12.75">
      <c r="A96" s="47" t="s">
        <v>26</v>
      </c>
      <c r="B96" s="47" t="s">
        <v>312</v>
      </c>
      <c r="C96" s="39" t="s">
        <v>7</v>
      </c>
      <c r="D96" s="39"/>
      <c r="E96" s="39"/>
      <c r="F96" s="10" t="s">
        <v>132</v>
      </c>
      <c r="G96" s="10" t="s">
        <v>320</v>
      </c>
      <c r="H96" s="10"/>
      <c r="I96" s="50" t="s">
        <v>175</v>
      </c>
      <c r="J96" s="10" t="s">
        <v>169</v>
      </c>
      <c r="K96" s="61"/>
      <c r="L96" s="9"/>
      <c r="M96" s="62"/>
      <c r="N96" s="6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50"/>
      <c r="AI96" s="50"/>
      <c r="AJ96" s="50"/>
      <c r="AK96" s="43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62"/>
      <c r="BV96" s="62"/>
      <c r="BW96" s="54"/>
      <c r="BX96" s="54"/>
      <c r="BY96" s="54"/>
      <c r="BZ96" s="54"/>
      <c r="CA96" s="54"/>
      <c r="CB96" s="54"/>
      <c r="CC96" s="54"/>
      <c r="CD96" s="44"/>
      <c r="CE96" s="54"/>
      <c r="CF96" s="54">
        <v>9</v>
      </c>
      <c r="CG96" s="54">
        <v>9</v>
      </c>
      <c r="CH96" s="54">
        <v>0</v>
      </c>
      <c r="CI96" s="54"/>
      <c r="CJ96" s="54"/>
      <c r="CK96" s="54"/>
      <c r="CL96" s="54"/>
      <c r="CM96" s="54">
        <v>0</v>
      </c>
      <c r="CN96" s="54">
        <v>0</v>
      </c>
      <c r="CO96" s="54"/>
      <c r="CP96" s="54"/>
      <c r="CQ96" s="54"/>
      <c r="CR96" s="55"/>
      <c r="CS96" s="55"/>
      <c r="CT96" s="55"/>
      <c r="CU96" s="55"/>
      <c r="CV96" s="55"/>
      <c r="CW96" s="64"/>
      <c r="CX96" s="64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47"/>
      <c r="EL96" s="47"/>
      <c r="EM96" s="120"/>
      <c r="EN96" s="12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</row>
    <row r="97" spans="1:256" s="58" customFormat="1" ht="12.75">
      <c r="A97" s="47" t="s">
        <v>26</v>
      </c>
      <c r="B97" s="47" t="s">
        <v>312</v>
      </c>
      <c r="C97" s="39" t="s">
        <v>7</v>
      </c>
      <c r="D97" s="39">
        <v>7051300012</v>
      </c>
      <c r="E97" s="39">
        <v>741200016</v>
      </c>
      <c r="F97" s="26" t="s">
        <v>356</v>
      </c>
      <c r="G97" s="47" t="s">
        <v>321</v>
      </c>
      <c r="H97" s="47"/>
      <c r="I97" s="47" t="s">
        <v>175</v>
      </c>
      <c r="J97" s="47" t="s">
        <v>171</v>
      </c>
      <c r="K97" s="47"/>
      <c r="L97" s="47" t="s">
        <v>141</v>
      </c>
      <c r="M97" s="47" t="s">
        <v>21</v>
      </c>
      <c r="N97" s="47" t="s">
        <v>21</v>
      </c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>
        <v>35</v>
      </c>
      <c r="CG97" s="47">
        <v>31</v>
      </c>
      <c r="CH97" s="47">
        <v>34</v>
      </c>
      <c r="CI97" s="47">
        <f>31+5</f>
        <v>36</v>
      </c>
      <c r="CJ97" s="47">
        <f>28+3</f>
        <v>31</v>
      </c>
      <c r="CK97" s="47">
        <v>12</v>
      </c>
      <c r="CL97" s="47">
        <f>24+7</f>
        <v>31</v>
      </c>
      <c r="CM97" s="47">
        <f>32+4</f>
        <v>36</v>
      </c>
      <c r="CN97" s="47">
        <f>27+2</f>
        <v>29</v>
      </c>
      <c r="CO97" s="47">
        <f>18+2</f>
        <v>20</v>
      </c>
      <c r="CP97" s="47">
        <v>22</v>
      </c>
      <c r="CQ97" s="47">
        <v>19</v>
      </c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  <c r="IV97" s="57"/>
    </row>
    <row r="98" spans="1:256" s="58" customFormat="1" ht="12.75">
      <c r="A98" s="47" t="s">
        <v>26</v>
      </c>
      <c r="B98" s="47" t="s">
        <v>312</v>
      </c>
      <c r="C98" s="39" t="s">
        <v>7</v>
      </c>
      <c r="D98" s="39">
        <v>7061100001</v>
      </c>
      <c r="E98" s="39">
        <v>744100005</v>
      </c>
      <c r="F98" s="10" t="s">
        <v>360</v>
      </c>
      <c r="G98" s="47" t="s">
        <v>321</v>
      </c>
      <c r="H98" s="47"/>
      <c r="I98" s="47" t="s">
        <v>175</v>
      </c>
      <c r="J98" s="47" t="s">
        <v>169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>
        <v>14</v>
      </c>
      <c r="CG98" s="47">
        <v>6</v>
      </c>
      <c r="CH98" s="47">
        <v>10</v>
      </c>
      <c r="CI98" s="47">
        <f>10+1</f>
        <v>11</v>
      </c>
      <c r="CJ98" s="47">
        <f>9+3</f>
        <v>12</v>
      </c>
      <c r="CK98" s="47"/>
      <c r="CL98" s="47">
        <v>5</v>
      </c>
      <c r="CM98" s="47">
        <f>2+0</f>
        <v>2</v>
      </c>
      <c r="CN98" s="47">
        <f>0+0</f>
        <v>0</v>
      </c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</row>
    <row r="99" spans="1:256" s="58" customFormat="1" ht="12.75">
      <c r="A99" s="47" t="s">
        <v>26</v>
      </c>
      <c r="B99" s="47" t="s">
        <v>312</v>
      </c>
      <c r="C99" s="39" t="s">
        <v>7</v>
      </c>
      <c r="D99" s="39">
        <v>7071700006</v>
      </c>
      <c r="E99" s="39">
        <v>751100023</v>
      </c>
      <c r="F99" s="26" t="s">
        <v>361</v>
      </c>
      <c r="G99" s="47" t="s">
        <v>321</v>
      </c>
      <c r="H99" s="47"/>
      <c r="I99" s="47" t="s">
        <v>163</v>
      </c>
      <c r="J99" s="47" t="s">
        <v>169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>
        <v>5</v>
      </c>
      <c r="CG99" s="47">
        <v>8</v>
      </c>
      <c r="CH99" s="47">
        <v>6</v>
      </c>
      <c r="CI99" s="47">
        <f>13+4</f>
        <v>17</v>
      </c>
      <c r="CJ99" s="47">
        <f>15</f>
        <v>15</v>
      </c>
      <c r="CK99" s="47">
        <v>2</v>
      </c>
      <c r="CL99" s="47">
        <f>10+1</f>
        <v>11</v>
      </c>
      <c r="CM99" s="47">
        <f>6+2</f>
        <v>8</v>
      </c>
      <c r="CN99" s="47">
        <f>3+8</f>
        <v>11</v>
      </c>
      <c r="CO99" s="47">
        <f>11+5</f>
        <v>16</v>
      </c>
      <c r="CP99" s="47">
        <v>18</v>
      </c>
      <c r="CQ99" s="47">
        <v>11</v>
      </c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7"/>
    </row>
    <row r="100" spans="1:256" s="58" customFormat="1" ht="12.75">
      <c r="A100" s="47" t="s">
        <v>26</v>
      </c>
      <c r="B100" s="47" t="s">
        <v>312</v>
      </c>
      <c r="C100" s="39" t="s">
        <v>7</v>
      </c>
      <c r="D100" s="39">
        <v>7072000009</v>
      </c>
      <c r="E100" s="39">
        <v>752000010</v>
      </c>
      <c r="F100" s="26" t="s">
        <v>362</v>
      </c>
      <c r="G100" s="47" t="s">
        <v>321</v>
      </c>
      <c r="H100" s="47"/>
      <c r="I100" s="47" t="s">
        <v>163</v>
      </c>
      <c r="J100" s="47" t="s">
        <v>169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>
        <v>3</v>
      </c>
      <c r="CG100" s="47">
        <v>3</v>
      </c>
      <c r="CH100" s="47">
        <v>4</v>
      </c>
      <c r="CI100" s="47">
        <v>4</v>
      </c>
      <c r="CJ100" s="47">
        <v>2</v>
      </c>
      <c r="CK100" s="47"/>
      <c r="CL100" s="47"/>
      <c r="CM100" s="47">
        <f>0+0</f>
        <v>0</v>
      </c>
      <c r="CN100" s="47">
        <v>0</v>
      </c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  <c r="IT100" s="57"/>
      <c r="IU100" s="57"/>
      <c r="IV100" s="57"/>
    </row>
    <row r="101" spans="1:256" s="58" customFormat="1" ht="12.75">
      <c r="A101" s="47" t="s">
        <v>26</v>
      </c>
      <c r="B101" s="47" t="s">
        <v>312</v>
      </c>
      <c r="C101" s="39" t="s">
        <v>7</v>
      </c>
      <c r="D101" s="39">
        <v>7052200010</v>
      </c>
      <c r="E101" s="39">
        <v>742200026</v>
      </c>
      <c r="F101" s="10" t="s">
        <v>357</v>
      </c>
      <c r="G101" s="47" t="s">
        <v>321</v>
      </c>
      <c r="H101" s="47"/>
      <c r="I101" s="47" t="s">
        <v>175</v>
      </c>
      <c r="J101" s="47" t="s">
        <v>171</v>
      </c>
      <c r="K101" s="47"/>
      <c r="L101" s="47" t="s">
        <v>142</v>
      </c>
      <c r="M101" s="47" t="s">
        <v>21</v>
      </c>
      <c r="N101" s="47" t="s">
        <v>21</v>
      </c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>
        <v>7</v>
      </c>
      <c r="CG101" s="47">
        <v>11</v>
      </c>
      <c r="CH101" s="47">
        <v>8</v>
      </c>
      <c r="CI101" s="47">
        <f>15+5</f>
        <v>20</v>
      </c>
      <c r="CJ101" s="47">
        <f>15+2</f>
        <v>17</v>
      </c>
      <c r="CK101" s="47">
        <v>8</v>
      </c>
      <c r="CL101" s="47">
        <f>10+6</f>
        <v>16</v>
      </c>
      <c r="CM101" s="47">
        <f>18+7</f>
        <v>25</v>
      </c>
      <c r="CN101" s="47">
        <f>18+6</f>
        <v>24</v>
      </c>
      <c r="CO101" s="47">
        <f>18+3</f>
        <v>21</v>
      </c>
      <c r="CP101" s="47">
        <v>20</v>
      </c>
      <c r="CQ101" s="47">
        <v>12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</row>
    <row r="102" spans="1:256" s="58" customFormat="1" ht="12.75">
      <c r="A102" s="47" t="s">
        <v>26</v>
      </c>
      <c r="B102" s="47" t="s">
        <v>312</v>
      </c>
      <c r="C102" s="39" t="s">
        <v>7</v>
      </c>
      <c r="D102" s="39">
        <v>7071300035</v>
      </c>
      <c r="E102" s="39">
        <v>751300031</v>
      </c>
      <c r="F102" s="26" t="s">
        <v>363</v>
      </c>
      <c r="G102" s="47" t="s">
        <v>321</v>
      </c>
      <c r="H102" s="47"/>
      <c r="I102" s="47" t="s">
        <v>163</v>
      </c>
      <c r="J102" s="47" t="s">
        <v>169</v>
      </c>
      <c r="K102" s="47"/>
      <c r="L102" s="47" t="s">
        <v>141</v>
      </c>
      <c r="M102" s="47" t="s">
        <v>21</v>
      </c>
      <c r="N102" s="47" t="s">
        <v>21</v>
      </c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>
        <v>10</v>
      </c>
      <c r="CG102" s="47">
        <v>11</v>
      </c>
      <c r="CH102" s="47">
        <v>9</v>
      </c>
      <c r="CI102" s="47">
        <v>9</v>
      </c>
      <c r="CJ102" s="47">
        <f>10</f>
        <v>10</v>
      </c>
      <c r="CK102" s="47"/>
      <c r="CL102" s="47">
        <v>15</v>
      </c>
      <c r="CM102" s="47">
        <f>13+0</f>
        <v>13</v>
      </c>
      <c r="CN102" s="47">
        <f>13+0</f>
        <v>13</v>
      </c>
      <c r="CO102" s="47">
        <v>16</v>
      </c>
      <c r="CP102" s="47">
        <v>17</v>
      </c>
      <c r="CQ102" s="47">
        <v>11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</row>
    <row r="103" spans="1:256" s="58" customFormat="1" ht="12.75">
      <c r="A103" s="47" t="s">
        <v>26</v>
      </c>
      <c r="B103" s="47" t="s">
        <v>312</v>
      </c>
      <c r="C103" s="39" t="s">
        <v>7</v>
      </c>
      <c r="D103" s="39">
        <v>7012604002</v>
      </c>
      <c r="E103" s="39">
        <v>711100006</v>
      </c>
      <c r="F103" s="10" t="s">
        <v>364</v>
      </c>
      <c r="G103" s="47" t="s">
        <v>321</v>
      </c>
      <c r="H103" s="47"/>
      <c r="I103" s="47" t="s">
        <v>175</v>
      </c>
      <c r="J103" s="47" t="s">
        <v>171</v>
      </c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>
        <v>8</v>
      </c>
      <c r="CG103" s="47">
        <v>7</v>
      </c>
      <c r="CH103" s="47">
        <v>4</v>
      </c>
      <c r="CI103" s="47">
        <v>10</v>
      </c>
      <c r="CJ103" s="47">
        <f>16</f>
        <v>16</v>
      </c>
      <c r="CK103" s="47"/>
      <c r="CL103" s="47">
        <v>8</v>
      </c>
      <c r="CM103" s="47">
        <f>12+0</f>
        <v>12</v>
      </c>
      <c r="CN103" s="47">
        <f>11+0</f>
        <v>11</v>
      </c>
      <c r="CO103" s="47">
        <v>14</v>
      </c>
      <c r="CP103" s="47">
        <v>13</v>
      </c>
      <c r="CQ103" s="47">
        <v>9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  <c r="IT103" s="57"/>
      <c r="IU103" s="57"/>
      <c r="IV103" s="57"/>
    </row>
    <row r="104" spans="1:256" s="58" customFormat="1" ht="12.75">
      <c r="A104" s="47" t="s">
        <v>26</v>
      </c>
      <c r="B104" s="47" t="s">
        <v>312</v>
      </c>
      <c r="C104" s="39" t="s">
        <v>7</v>
      </c>
      <c r="D104" s="39">
        <v>7011400019</v>
      </c>
      <c r="E104" s="39">
        <v>711400028</v>
      </c>
      <c r="F104" s="26" t="s">
        <v>365</v>
      </c>
      <c r="G104" s="47" t="s">
        <v>321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>
        <v>5</v>
      </c>
      <c r="CM104" s="47">
        <f>22+0</f>
        <v>22</v>
      </c>
      <c r="CN104" s="47">
        <f>1+0</f>
        <v>1</v>
      </c>
      <c r="CO104" s="47">
        <f>7+1</f>
        <v>8</v>
      </c>
      <c r="CP104" s="47">
        <v>3</v>
      </c>
      <c r="CQ104" s="47">
        <v>3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  <c r="IT104" s="57"/>
      <c r="IU104" s="57"/>
      <c r="IV104" s="57"/>
    </row>
    <row r="105" spans="1:256" s="58" customFormat="1" ht="12.75">
      <c r="A105" s="47" t="s">
        <v>26</v>
      </c>
      <c r="B105" s="47" t="s">
        <v>312</v>
      </c>
      <c r="C105" s="39" t="s">
        <v>7</v>
      </c>
      <c r="D105" s="39">
        <v>7053100012</v>
      </c>
      <c r="E105" s="39">
        <v>743100020</v>
      </c>
      <c r="F105" s="10" t="s">
        <v>358</v>
      </c>
      <c r="G105" s="47" t="s">
        <v>321</v>
      </c>
      <c r="H105" s="47"/>
      <c r="I105" s="47"/>
      <c r="J105" s="47"/>
      <c r="K105" s="47"/>
      <c r="L105" s="47" t="s">
        <v>141</v>
      </c>
      <c r="M105" s="47" t="s">
        <v>21</v>
      </c>
      <c r="N105" s="47" t="s">
        <v>21</v>
      </c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>
        <v>2</v>
      </c>
      <c r="CM105" s="47">
        <f>4+0</f>
        <v>4</v>
      </c>
      <c r="CN105" s="47">
        <f>5+0</f>
        <v>5</v>
      </c>
      <c r="CO105" s="47">
        <v>4</v>
      </c>
      <c r="CP105" s="47">
        <v>6</v>
      </c>
      <c r="CQ105" s="47">
        <v>4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  <c r="IQ105" s="57"/>
      <c r="IR105" s="57"/>
      <c r="IS105" s="57"/>
      <c r="IT105" s="57"/>
      <c r="IU105" s="57"/>
      <c r="IV105" s="57"/>
    </row>
    <row r="106" spans="1:256" s="58" customFormat="1" ht="12.75">
      <c r="A106" s="47" t="s">
        <v>26</v>
      </c>
      <c r="B106" s="47" t="s">
        <v>312</v>
      </c>
      <c r="C106" s="39" t="s">
        <v>7</v>
      </c>
      <c r="D106" s="39">
        <v>7052200017</v>
      </c>
      <c r="E106" s="39">
        <v>751100021</v>
      </c>
      <c r="F106" s="10" t="s">
        <v>359</v>
      </c>
      <c r="G106" s="47" t="s">
        <v>321</v>
      </c>
      <c r="H106" s="47"/>
      <c r="I106" s="47" t="s">
        <v>175</v>
      </c>
      <c r="J106" s="47" t="s">
        <v>169</v>
      </c>
      <c r="K106" s="47"/>
      <c r="L106" s="47" t="s">
        <v>141</v>
      </c>
      <c r="M106" s="47" t="s">
        <v>21</v>
      </c>
      <c r="N106" s="47" t="s">
        <v>21</v>
      </c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>
        <v>1</v>
      </c>
      <c r="CG106" s="47">
        <v>3</v>
      </c>
      <c r="CH106" s="47">
        <v>4</v>
      </c>
      <c r="CI106" s="47">
        <f>1+2</f>
        <v>3</v>
      </c>
      <c r="CJ106" s="47">
        <f>3+5</f>
        <v>8</v>
      </c>
      <c r="CK106" s="47">
        <v>2</v>
      </c>
      <c r="CL106" s="47">
        <f>14+7</f>
        <v>21</v>
      </c>
      <c r="CM106" s="47">
        <f>18+5</f>
        <v>23</v>
      </c>
      <c r="CN106" s="47">
        <f>20+3</f>
        <v>23</v>
      </c>
      <c r="CO106" s="47">
        <f>14+8</f>
        <v>22</v>
      </c>
      <c r="CP106" s="47">
        <v>21</v>
      </c>
      <c r="CQ106" s="47">
        <v>20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  <c r="IF106" s="105"/>
      <c r="IG106" s="105"/>
      <c r="IH106" s="105"/>
      <c r="II106" s="105"/>
      <c r="IJ106" s="105"/>
      <c r="IK106" s="105"/>
      <c r="IL106" s="105"/>
      <c r="IM106" s="105"/>
      <c r="IN106" s="105"/>
      <c r="IO106" s="105"/>
      <c r="IP106" s="105"/>
      <c r="IQ106" s="105"/>
      <c r="IR106" s="105"/>
      <c r="IS106" s="105"/>
      <c r="IT106" s="105"/>
      <c r="IU106" s="105"/>
      <c r="IV106" s="105"/>
    </row>
    <row r="107" spans="1:256" s="58" customFormat="1" ht="12.75">
      <c r="A107" s="47" t="s">
        <v>26</v>
      </c>
      <c r="B107" s="47" t="s">
        <v>312</v>
      </c>
      <c r="C107" s="39" t="s">
        <v>7</v>
      </c>
      <c r="D107" s="39"/>
      <c r="E107" s="39"/>
      <c r="F107" s="10" t="s">
        <v>427</v>
      </c>
      <c r="G107" s="50" t="s">
        <v>321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>
        <v>2</v>
      </c>
      <c r="CQ107" s="47">
        <v>4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  <c r="FW107" s="105"/>
      <c r="FX107" s="105"/>
      <c r="FY107" s="105"/>
      <c r="FZ107" s="105"/>
      <c r="GA107" s="105"/>
      <c r="GB107" s="105"/>
      <c r="GC107" s="105"/>
      <c r="GD107" s="105"/>
      <c r="GE107" s="105"/>
      <c r="GF107" s="105"/>
      <c r="GG107" s="105"/>
      <c r="GH107" s="105"/>
      <c r="GI107" s="105"/>
      <c r="GJ107" s="105"/>
      <c r="GK107" s="105"/>
      <c r="GL107" s="105"/>
      <c r="GM107" s="105"/>
      <c r="GN107" s="105"/>
      <c r="GO107" s="105"/>
      <c r="GP107" s="105"/>
      <c r="GQ107" s="105"/>
      <c r="GR107" s="105"/>
      <c r="GS107" s="105"/>
      <c r="GT107" s="105"/>
      <c r="GU107" s="105"/>
      <c r="GV107" s="105"/>
      <c r="GW107" s="105"/>
      <c r="GX107" s="105"/>
      <c r="GY107" s="105"/>
      <c r="GZ107" s="105"/>
      <c r="HA107" s="105"/>
      <c r="HB107" s="105"/>
      <c r="HC107" s="105"/>
      <c r="HD107" s="105"/>
      <c r="HE107" s="105"/>
      <c r="HF107" s="105"/>
      <c r="HG107" s="105"/>
      <c r="HH107" s="105"/>
      <c r="HI107" s="105"/>
      <c r="HJ107" s="105"/>
      <c r="HK107" s="105"/>
      <c r="HL107" s="105"/>
      <c r="HM107" s="105"/>
      <c r="HN107" s="105"/>
      <c r="HO107" s="105"/>
      <c r="HP107" s="105"/>
      <c r="HQ107" s="105"/>
      <c r="HR107" s="105"/>
      <c r="HS107" s="105"/>
      <c r="HT107" s="105"/>
      <c r="HU107" s="105"/>
      <c r="HV107" s="105"/>
      <c r="HW107" s="105"/>
      <c r="HX107" s="105"/>
      <c r="HY107" s="105"/>
      <c r="HZ107" s="105"/>
      <c r="IA107" s="105"/>
      <c r="IB107" s="105"/>
      <c r="IC107" s="105"/>
      <c r="ID107" s="105"/>
      <c r="IE107" s="105"/>
      <c r="IF107" s="105"/>
      <c r="IG107" s="105"/>
      <c r="IH107" s="105"/>
      <c r="II107" s="105"/>
      <c r="IJ107" s="105"/>
      <c r="IK107" s="105"/>
      <c r="IL107" s="105"/>
      <c r="IM107" s="105"/>
      <c r="IN107" s="105"/>
      <c r="IO107" s="105"/>
      <c r="IP107" s="105"/>
      <c r="IQ107" s="105"/>
      <c r="IR107" s="105"/>
      <c r="IS107" s="105"/>
      <c r="IT107" s="105"/>
      <c r="IU107" s="105"/>
      <c r="IV107" s="105"/>
    </row>
    <row r="108" spans="1:256" s="58" customFormat="1" ht="12.75">
      <c r="A108" s="47" t="s">
        <v>26</v>
      </c>
      <c r="B108" s="47" t="s">
        <v>312</v>
      </c>
      <c r="C108" s="39" t="s">
        <v>7</v>
      </c>
      <c r="D108" s="39">
        <v>8052200017</v>
      </c>
      <c r="E108" s="39">
        <v>851100003</v>
      </c>
      <c r="F108" s="10" t="s">
        <v>366</v>
      </c>
      <c r="G108" s="50" t="s">
        <v>319</v>
      </c>
      <c r="H108" s="10"/>
      <c r="I108" s="50" t="s">
        <v>175</v>
      </c>
      <c r="J108" s="10" t="s">
        <v>169</v>
      </c>
      <c r="K108" s="61"/>
      <c r="L108" s="62" t="s">
        <v>142</v>
      </c>
      <c r="M108" s="62" t="s">
        <v>21</v>
      </c>
      <c r="N108" s="62" t="s">
        <v>21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50"/>
      <c r="AI108" s="50"/>
      <c r="AJ108" s="50"/>
      <c r="AK108" s="43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62"/>
      <c r="BV108" s="62"/>
      <c r="BW108" s="54"/>
      <c r="BX108" s="54"/>
      <c r="BY108" s="54"/>
      <c r="BZ108" s="54"/>
      <c r="CA108" s="54"/>
      <c r="CB108" s="54"/>
      <c r="CC108" s="54"/>
      <c r="CD108" s="44"/>
      <c r="CE108" s="54"/>
      <c r="CF108" s="54">
        <v>17</v>
      </c>
      <c r="CG108" s="54">
        <v>16</v>
      </c>
      <c r="CH108" s="54">
        <v>19</v>
      </c>
      <c r="CI108" s="54">
        <v>22</v>
      </c>
      <c r="CJ108" s="54">
        <f>21</f>
        <v>21</v>
      </c>
      <c r="CK108" s="54"/>
      <c r="CL108" s="54">
        <f>27+1</f>
        <v>28</v>
      </c>
      <c r="CM108" s="54">
        <f>33+3</f>
        <v>36</v>
      </c>
      <c r="CN108" s="54">
        <f>37+4</f>
        <v>41</v>
      </c>
      <c r="CO108" s="54">
        <f>42+4</f>
        <v>46</v>
      </c>
      <c r="CP108" s="54">
        <v>48</v>
      </c>
      <c r="CQ108" s="54">
        <v>39</v>
      </c>
      <c r="CR108" s="54"/>
      <c r="CS108" s="54"/>
      <c r="CT108" s="55"/>
      <c r="CU108" s="55"/>
      <c r="CV108" s="55"/>
      <c r="CW108" s="64"/>
      <c r="CX108" s="64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47"/>
      <c r="EL108" s="47"/>
      <c r="EM108" s="120"/>
      <c r="EN108" s="12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122"/>
      <c r="FF108" s="122"/>
      <c r="FG108" s="50"/>
      <c r="FH108" s="50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  <c r="FW108" s="105"/>
      <c r="FX108" s="105"/>
      <c r="FY108" s="105"/>
      <c r="FZ108" s="105"/>
      <c r="GA108" s="105"/>
      <c r="GB108" s="105"/>
      <c r="GC108" s="105"/>
      <c r="GD108" s="105"/>
      <c r="GE108" s="105"/>
      <c r="GF108" s="105"/>
      <c r="GG108" s="105"/>
      <c r="GH108" s="105"/>
      <c r="GI108" s="105"/>
      <c r="GJ108" s="105"/>
      <c r="GK108" s="105"/>
      <c r="GL108" s="105"/>
      <c r="GM108" s="105"/>
      <c r="GN108" s="105"/>
      <c r="GO108" s="105"/>
      <c r="GP108" s="105"/>
      <c r="GQ108" s="105"/>
      <c r="GR108" s="105"/>
      <c r="GS108" s="105"/>
      <c r="GT108" s="105"/>
      <c r="GU108" s="105"/>
      <c r="GV108" s="105"/>
      <c r="GW108" s="105"/>
      <c r="GX108" s="105"/>
      <c r="GY108" s="105"/>
      <c r="GZ108" s="105"/>
      <c r="HA108" s="105"/>
      <c r="HB108" s="105"/>
      <c r="HC108" s="105"/>
      <c r="HD108" s="105"/>
      <c r="HE108" s="105"/>
      <c r="HF108" s="105"/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/>
      <c r="HQ108" s="105"/>
      <c r="HR108" s="105"/>
      <c r="HS108" s="105"/>
      <c r="HT108" s="105"/>
      <c r="HU108" s="105"/>
      <c r="HV108" s="105"/>
      <c r="HW108" s="105"/>
      <c r="HX108" s="105"/>
      <c r="HY108" s="105"/>
      <c r="HZ108" s="105"/>
      <c r="IA108" s="105"/>
      <c r="IB108" s="105"/>
      <c r="IC108" s="105"/>
      <c r="ID108" s="105"/>
      <c r="IE108" s="105"/>
      <c r="IF108" s="105"/>
      <c r="IG108" s="105"/>
      <c r="IH108" s="105"/>
      <c r="II108" s="105"/>
      <c r="IJ108" s="105"/>
      <c r="IK108" s="105"/>
      <c r="IL108" s="105"/>
      <c r="IM108" s="105"/>
      <c r="IN108" s="105"/>
      <c r="IO108" s="105"/>
      <c r="IP108" s="105"/>
      <c r="IQ108" s="105"/>
      <c r="IR108" s="105"/>
      <c r="IS108" s="105"/>
      <c r="IT108" s="105"/>
      <c r="IU108" s="105"/>
      <c r="IV108" s="105"/>
    </row>
    <row r="109" spans="1:256" s="58" customFormat="1" ht="12.75">
      <c r="A109" s="47" t="s">
        <v>26</v>
      </c>
      <c r="B109" s="47" t="s">
        <v>312</v>
      </c>
      <c r="C109" s="39" t="s">
        <v>7</v>
      </c>
      <c r="D109" s="39">
        <v>8052200008</v>
      </c>
      <c r="E109" s="39">
        <v>842200017</v>
      </c>
      <c r="F109" s="10" t="s">
        <v>367</v>
      </c>
      <c r="G109" s="50" t="s">
        <v>319</v>
      </c>
      <c r="H109" s="10"/>
      <c r="I109" s="50" t="s">
        <v>175</v>
      </c>
      <c r="J109" s="10" t="s">
        <v>171</v>
      </c>
      <c r="K109" s="61"/>
      <c r="L109" s="62" t="s">
        <v>142</v>
      </c>
      <c r="M109" s="62" t="s">
        <v>21</v>
      </c>
      <c r="N109" s="62" t="s">
        <v>21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50"/>
      <c r="AI109" s="50"/>
      <c r="AJ109" s="50"/>
      <c r="AK109" s="43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62"/>
      <c r="BV109" s="62"/>
      <c r="BW109" s="54"/>
      <c r="BX109" s="54"/>
      <c r="BY109" s="54"/>
      <c r="BZ109" s="54"/>
      <c r="CA109" s="54"/>
      <c r="CB109" s="54"/>
      <c r="CC109" s="54"/>
      <c r="CD109" s="44"/>
      <c r="CE109" s="54"/>
      <c r="CF109" s="54">
        <v>32</v>
      </c>
      <c r="CG109" s="54">
        <v>34</v>
      </c>
      <c r="CH109" s="54">
        <v>28</v>
      </c>
      <c r="CI109" s="54">
        <f>17+3</f>
        <v>20</v>
      </c>
      <c r="CJ109" s="54">
        <f>11+5</f>
        <v>16</v>
      </c>
      <c r="CK109" s="54">
        <v>4</v>
      </c>
      <c r="CL109" s="54">
        <f>14+3</f>
        <v>17</v>
      </c>
      <c r="CM109" s="54">
        <f>13+5</f>
        <v>18</v>
      </c>
      <c r="CN109" s="54">
        <f>20+3</f>
        <v>23</v>
      </c>
      <c r="CO109" s="54">
        <f>21+5</f>
        <v>26</v>
      </c>
      <c r="CP109" s="54">
        <v>33</v>
      </c>
      <c r="CQ109" s="54">
        <v>32</v>
      </c>
      <c r="CR109" s="54"/>
      <c r="CS109" s="54"/>
      <c r="CT109" s="55"/>
      <c r="CU109" s="55"/>
      <c r="CV109" s="55"/>
      <c r="CW109" s="64"/>
      <c r="CX109" s="64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47"/>
      <c r="EL109" s="47"/>
      <c r="EM109" s="120"/>
      <c r="EN109" s="12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122"/>
      <c r="FF109" s="122"/>
      <c r="FG109" s="50"/>
      <c r="FH109" s="50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7"/>
      <c r="IV109" s="57"/>
    </row>
    <row r="110" spans="1:256" s="58" customFormat="1" ht="12.75">
      <c r="A110" s="47" t="s">
        <v>26</v>
      </c>
      <c r="B110" s="47" t="s">
        <v>312</v>
      </c>
      <c r="C110" s="39" t="s">
        <v>7</v>
      </c>
      <c r="D110" s="39">
        <v>8051300006</v>
      </c>
      <c r="E110" s="39">
        <v>841200013</v>
      </c>
      <c r="F110" s="48" t="s">
        <v>368</v>
      </c>
      <c r="G110" s="50" t="s">
        <v>319</v>
      </c>
      <c r="H110" s="10"/>
      <c r="I110" s="50" t="s">
        <v>175</v>
      </c>
      <c r="J110" s="10" t="s">
        <v>171</v>
      </c>
      <c r="K110" s="61"/>
      <c r="L110" s="62" t="s">
        <v>141</v>
      </c>
      <c r="M110" s="62" t="s">
        <v>21</v>
      </c>
      <c r="N110" s="62" t="s">
        <v>21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50"/>
      <c r="AI110" s="50"/>
      <c r="AJ110" s="50"/>
      <c r="AK110" s="43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62"/>
      <c r="BV110" s="62"/>
      <c r="BW110" s="54"/>
      <c r="BX110" s="54"/>
      <c r="BY110" s="54"/>
      <c r="BZ110" s="54"/>
      <c r="CA110" s="54"/>
      <c r="CB110" s="54"/>
      <c r="CC110" s="54"/>
      <c r="CD110" s="44"/>
      <c r="CE110" s="54"/>
      <c r="CF110" s="54">
        <v>13</v>
      </c>
      <c r="CG110" s="54">
        <v>21</v>
      </c>
      <c r="CH110" s="54">
        <v>24</v>
      </c>
      <c r="CI110" s="54">
        <v>19</v>
      </c>
      <c r="CJ110" s="54">
        <f>18+6</f>
        <v>24</v>
      </c>
      <c r="CK110" s="54"/>
      <c r="CL110" s="54">
        <f>16+4</f>
        <v>20</v>
      </c>
      <c r="CM110" s="54">
        <f>20+4</f>
        <v>24</v>
      </c>
      <c r="CN110" s="54">
        <f>17+1</f>
        <v>18</v>
      </c>
      <c r="CO110" s="54">
        <f>19+3</f>
        <v>22</v>
      </c>
      <c r="CP110" s="54">
        <v>21</v>
      </c>
      <c r="CQ110" s="54">
        <v>21</v>
      </c>
      <c r="CR110" s="54"/>
      <c r="CS110" s="54"/>
      <c r="CT110" s="55"/>
      <c r="CU110" s="55"/>
      <c r="CV110" s="55"/>
      <c r="CW110" s="64"/>
      <c r="CX110" s="64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47"/>
      <c r="EL110" s="47"/>
      <c r="EM110" s="120"/>
      <c r="EN110" s="12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122"/>
      <c r="FF110" s="122"/>
      <c r="FG110" s="50"/>
      <c r="FH110" s="50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  <c r="IR110" s="57"/>
      <c r="IS110" s="57"/>
      <c r="IT110" s="57"/>
      <c r="IU110" s="57"/>
      <c r="IV110" s="57"/>
    </row>
    <row r="111" spans="1:256" s="58" customFormat="1" ht="12.75">
      <c r="A111" s="47" t="s">
        <v>26</v>
      </c>
      <c r="B111" s="47" t="s">
        <v>312</v>
      </c>
      <c r="C111" s="39" t="s">
        <v>7</v>
      </c>
      <c r="D111" s="39">
        <v>8051300002</v>
      </c>
      <c r="E111" s="39">
        <v>841200005</v>
      </c>
      <c r="F111" s="10" t="s">
        <v>369</v>
      </c>
      <c r="G111" s="50" t="s">
        <v>319</v>
      </c>
      <c r="H111" s="10"/>
      <c r="I111" s="50" t="s">
        <v>175</v>
      </c>
      <c r="J111" s="10" t="s">
        <v>171</v>
      </c>
      <c r="K111" s="61"/>
      <c r="L111" s="62" t="s">
        <v>141</v>
      </c>
      <c r="M111" s="62" t="s">
        <v>21</v>
      </c>
      <c r="N111" s="62" t="s">
        <v>21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50"/>
      <c r="AI111" s="50"/>
      <c r="AJ111" s="50"/>
      <c r="AK111" s="43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62"/>
      <c r="BV111" s="62"/>
      <c r="BW111" s="54"/>
      <c r="BX111" s="54"/>
      <c r="BY111" s="54"/>
      <c r="BZ111" s="54"/>
      <c r="CA111" s="54"/>
      <c r="CB111" s="54"/>
      <c r="CC111" s="54"/>
      <c r="CD111" s="44"/>
      <c r="CE111" s="54"/>
      <c r="CF111" s="54">
        <v>24</v>
      </c>
      <c r="CG111" s="54">
        <v>20</v>
      </c>
      <c r="CH111" s="54">
        <v>23</v>
      </c>
      <c r="CI111" s="54">
        <v>25</v>
      </c>
      <c r="CJ111" s="54">
        <f>22</f>
        <v>22</v>
      </c>
      <c r="CK111" s="54"/>
      <c r="CL111" s="54">
        <v>22</v>
      </c>
      <c r="CM111" s="54">
        <f>21+1</f>
        <v>22</v>
      </c>
      <c r="CN111" s="54">
        <f>25+4</f>
        <v>29</v>
      </c>
      <c r="CO111" s="54">
        <f>28+5</f>
        <v>33</v>
      </c>
      <c r="CP111" s="54">
        <v>33</v>
      </c>
      <c r="CQ111" s="54">
        <v>33</v>
      </c>
      <c r="CR111" s="54"/>
      <c r="CS111" s="54"/>
      <c r="CT111" s="55"/>
      <c r="CU111" s="55"/>
      <c r="CV111" s="55"/>
      <c r="CW111" s="64"/>
      <c r="CX111" s="64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47"/>
      <c r="EL111" s="47"/>
      <c r="EM111" s="120"/>
      <c r="EN111" s="12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122"/>
      <c r="FF111" s="122"/>
      <c r="FG111" s="50"/>
      <c r="FH111" s="50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7"/>
      <c r="IV111" s="57"/>
    </row>
    <row r="112" spans="1:256" s="58" customFormat="1" ht="12.75">
      <c r="A112" s="47" t="s">
        <v>26</v>
      </c>
      <c r="B112" s="47" t="s">
        <v>312</v>
      </c>
      <c r="C112" s="39" t="s">
        <v>7</v>
      </c>
      <c r="D112" s="39">
        <v>8061100001</v>
      </c>
      <c r="E112" s="39">
        <v>844100001</v>
      </c>
      <c r="F112" s="10" t="s">
        <v>370</v>
      </c>
      <c r="G112" s="50" t="s">
        <v>319</v>
      </c>
      <c r="H112" s="10"/>
      <c r="I112" s="50" t="s">
        <v>175</v>
      </c>
      <c r="J112" s="10" t="s">
        <v>169</v>
      </c>
      <c r="K112" s="61"/>
      <c r="L112" s="9"/>
      <c r="M112" s="62"/>
      <c r="N112" s="62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50"/>
      <c r="AI112" s="50"/>
      <c r="AJ112" s="50"/>
      <c r="AK112" s="43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62"/>
      <c r="BV112" s="62"/>
      <c r="BW112" s="54"/>
      <c r="BX112" s="54"/>
      <c r="BY112" s="54"/>
      <c r="BZ112" s="54"/>
      <c r="CA112" s="54"/>
      <c r="CB112" s="54"/>
      <c r="CC112" s="54"/>
      <c r="CD112" s="44"/>
      <c r="CE112" s="54"/>
      <c r="CF112" s="54">
        <v>1</v>
      </c>
      <c r="CG112" s="54">
        <v>1</v>
      </c>
      <c r="CH112" s="54">
        <v>2</v>
      </c>
      <c r="CI112" s="54">
        <v>1</v>
      </c>
      <c r="CJ112" s="54">
        <f>3+1</f>
        <v>4</v>
      </c>
      <c r="CK112" s="54">
        <v>1</v>
      </c>
      <c r="CL112" s="54">
        <v>3</v>
      </c>
      <c r="CM112" s="54">
        <f>6+0</f>
        <v>6</v>
      </c>
      <c r="CN112" s="54">
        <f>3+0</f>
        <v>3</v>
      </c>
      <c r="CO112" s="54">
        <v>2</v>
      </c>
      <c r="CP112" s="54">
        <v>5</v>
      </c>
      <c r="CQ112" s="54">
        <v>3</v>
      </c>
      <c r="CR112" s="54"/>
      <c r="CS112" s="54"/>
      <c r="CT112" s="55"/>
      <c r="CU112" s="55"/>
      <c r="CV112" s="55"/>
      <c r="CW112" s="64"/>
      <c r="CX112" s="64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47"/>
      <c r="EL112" s="47"/>
      <c r="EM112" s="120"/>
      <c r="EN112" s="12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122"/>
      <c r="FF112" s="122"/>
      <c r="FG112" s="50"/>
      <c r="FH112" s="50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58" customFormat="1" ht="12.75">
      <c r="A113" s="47" t="s">
        <v>26</v>
      </c>
      <c r="B113" s="47" t="s">
        <v>312</v>
      </c>
      <c r="C113" s="39" t="s">
        <v>7</v>
      </c>
      <c r="D113" s="39">
        <v>8071700001</v>
      </c>
      <c r="E113" s="39">
        <v>851100005</v>
      </c>
      <c r="F113" s="26" t="s">
        <v>371</v>
      </c>
      <c r="G113" s="50" t="s">
        <v>319</v>
      </c>
      <c r="H113" s="10"/>
      <c r="I113" s="50" t="s">
        <v>163</v>
      </c>
      <c r="J113" s="10" t="s">
        <v>169</v>
      </c>
      <c r="K113" s="61"/>
      <c r="L113" s="9"/>
      <c r="M113" s="62"/>
      <c r="N113" s="62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50"/>
      <c r="AI113" s="50"/>
      <c r="AJ113" s="50"/>
      <c r="AK113" s="43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62"/>
      <c r="BV113" s="62"/>
      <c r="BW113" s="54"/>
      <c r="BX113" s="54"/>
      <c r="BY113" s="54"/>
      <c r="BZ113" s="54"/>
      <c r="CA113" s="54"/>
      <c r="CB113" s="54"/>
      <c r="CC113" s="54"/>
      <c r="CD113" s="44"/>
      <c r="CE113" s="54"/>
      <c r="CF113" s="54">
        <v>9</v>
      </c>
      <c r="CG113" s="54">
        <v>6</v>
      </c>
      <c r="CH113" s="54">
        <v>7</v>
      </c>
      <c r="CI113" s="54">
        <f>6+1</f>
        <v>7</v>
      </c>
      <c r="CJ113" s="54">
        <f>9+1</f>
        <v>10</v>
      </c>
      <c r="CK113" s="54">
        <v>1</v>
      </c>
      <c r="CL113" s="54">
        <f>12+1</f>
        <v>13</v>
      </c>
      <c r="CM113" s="54">
        <f>8+0</f>
        <v>8</v>
      </c>
      <c r="CN113" s="54">
        <f>5+2</f>
        <v>7</v>
      </c>
      <c r="CO113" s="54">
        <f>3+1</f>
        <v>4</v>
      </c>
      <c r="CP113" s="54">
        <v>2</v>
      </c>
      <c r="CQ113" s="54">
        <v>2</v>
      </c>
      <c r="CR113" s="54"/>
      <c r="CS113" s="54"/>
      <c r="CT113" s="55"/>
      <c r="CU113" s="55"/>
      <c r="CV113" s="55"/>
      <c r="CW113" s="64"/>
      <c r="CX113" s="64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47"/>
      <c r="EL113" s="47"/>
      <c r="EM113" s="120"/>
      <c r="EN113" s="12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122"/>
      <c r="FF113" s="122"/>
      <c r="FG113" s="50"/>
      <c r="FH113" s="50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7"/>
      <c r="IV113" s="57"/>
    </row>
    <row r="114" spans="1:256" s="58" customFormat="1" ht="12.75">
      <c r="A114" s="47" t="s">
        <v>26</v>
      </c>
      <c r="B114" s="47" t="s">
        <v>312</v>
      </c>
      <c r="C114" s="39" t="s">
        <v>7</v>
      </c>
      <c r="D114" s="49">
        <v>8071300021</v>
      </c>
      <c r="E114" s="39"/>
      <c r="F114" s="26" t="s">
        <v>372</v>
      </c>
      <c r="G114" s="50" t="s">
        <v>319</v>
      </c>
      <c r="H114" s="10"/>
      <c r="I114" s="50"/>
      <c r="J114" s="10" t="s">
        <v>169</v>
      </c>
      <c r="K114" s="61"/>
      <c r="L114" s="9"/>
      <c r="M114" s="62"/>
      <c r="N114" s="62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50"/>
      <c r="AI114" s="50"/>
      <c r="AJ114" s="50"/>
      <c r="AK114" s="43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62"/>
      <c r="BV114" s="62"/>
      <c r="BW114" s="54"/>
      <c r="BX114" s="54"/>
      <c r="BY114" s="54"/>
      <c r="BZ114" s="54"/>
      <c r="CA114" s="54"/>
      <c r="CB114" s="54"/>
      <c r="CC114" s="54"/>
      <c r="CD114" s="4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>
        <f>4+3</f>
        <v>7</v>
      </c>
      <c r="CP114" s="54">
        <v>10</v>
      </c>
      <c r="CQ114" s="54">
        <v>8</v>
      </c>
      <c r="CR114" s="54"/>
      <c r="CS114" s="54"/>
      <c r="CT114" s="55"/>
      <c r="CU114" s="55"/>
      <c r="CV114" s="55"/>
      <c r="CW114" s="64"/>
      <c r="CX114" s="64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47"/>
      <c r="EL114" s="47"/>
      <c r="EM114" s="120"/>
      <c r="EN114" s="12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122"/>
      <c r="FF114" s="122"/>
      <c r="FG114" s="50"/>
      <c r="FH114" s="50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7"/>
      <c r="IV114" s="57"/>
    </row>
    <row r="115" spans="1:256" s="58" customFormat="1" ht="12.75">
      <c r="A115" s="47" t="s">
        <v>26</v>
      </c>
      <c r="B115" s="47" t="s">
        <v>312</v>
      </c>
      <c r="C115" s="39" t="s">
        <v>7</v>
      </c>
      <c r="D115" s="49"/>
      <c r="E115" s="39"/>
      <c r="F115" s="50" t="s">
        <v>428</v>
      </c>
      <c r="G115" s="50" t="s">
        <v>319</v>
      </c>
      <c r="H115" s="10"/>
      <c r="I115" s="50"/>
      <c r="J115" s="10"/>
      <c r="K115" s="61"/>
      <c r="L115" s="9"/>
      <c r="M115" s="62"/>
      <c r="N115" s="62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50"/>
      <c r="AI115" s="50"/>
      <c r="AJ115" s="50"/>
      <c r="AK115" s="43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62"/>
      <c r="BV115" s="62"/>
      <c r="BW115" s="54"/>
      <c r="BX115" s="54"/>
      <c r="BY115" s="54"/>
      <c r="BZ115" s="54"/>
      <c r="CA115" s="54"/>
      <c r="CB115" s="54"/>
      <c r="CC115" s="54"/>
      <c r="CD115" s="4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0">
        <v>5</v>
      </c>
      <c r="CQ115" s="50">
        <v>8</v>
      </c>
      <c r="CR115" s="54"/>
      <c r="CS115" s="54"/>
      <c r="CT115" s="55"/>
      <c r="CU115" s="55"/>
      <c r="CV115" s="55"/>
      <c r="CW115" s="64"/>
      <c r="CX115" s="64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47"/>
      <c r="EL115" s="47"/>
      <c r="EM115" s="120"/>
      <c r="EN115" s="12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122"/>
      <c r="FF115" s="122"/>
      <c r="FG115" s="50"/>
      <c r="FH115" s="50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  <c r="IS115" s="57"/>
      <c r="IT115" s="57"/>
      <c r="IU115" s="57"/>
      <c r="IV115" s="57"/>
    </row>
    <row r="116" spans="1:256" s="58" customFormat="1" ht="12.75">
      <c r="A116" s="47" t="s">
        <v>26</v>
      </c>
      <c r="B116" s="47" t="s">
        <v>314</v>
      </c>
      <c r="C116" s="39" t="s">
        <v>14</v>
      </c>
      <c r="D116" s="39">
        <v>5093100001</v>
      </c>
      <c r="E116" s="39">
        <v>571300001</v>
      </c>
      <c r="F116" s="26" t="s">
        <v>37</v>
      </c>
      <c r="G116" s="10" t="s">
        <v>318</v>
      </c>
      <c r="H116" s="10" t="s">
        <v>67</v>
      </c>
      <c r="I116" s="10" t="s">
        <v>165</v>
      </c>
      <c r="J116" s="10" t="s">
        <v>170</v>
      </c>
      <c r="K116" s="61"/>
      <c r="L116" s="75" t="s">
        <v>21</v>
      </c>
      <c r="M116" s="62" t="s">
        <v>21</v>
      </c>
      <c r="N116" s="62"/>
      <c r="O116" s="76"/>
      <c r="P116" s="62">
        <v>0.1</v>
      </c>
      <c r="Q116" s="60">
        <v>0.1736</v>
      </c>
      <c r="R116" s="60">
        <v>0.1864</v>
      </c>
      <c r="S116" s="60">
        <v>0.1269</v>
      </c>
      <c r="T116" s="60">
        <v>0.1538</v>
      </c>
      <c r="U116" s="60">
        <v>0.1385</v>
      </c>
      <c r="V116" s="60">
        <v>0.2069</v>
      </c>
      <c r="W116" s="60">
        <v>0.1338</v>
      </c>
      <c r="X116" s="62">
        <v>0.0278</v>
      </c>
      <c r="Y116" s="62">
        <v>0.1277</v>
      </c>
      <c r="Z116" s="62">
        <v>0.0988</v>
      </c>
      <c r="AA116" s="62">
        <v>0.14130434782608695</v>
      </c>
      <c r="AB116" s="62">
        <v>0.1163</v>
      </c>
      <c r="AC116" s="62">
        <v>0.0978</v>
      </c>
      <c r="AD116" s="62">
        <v>0.0435</v>
      </c>
      <c r="AE116" s="62">
        <v>0.1405</v>
      </c>
      <c r="AF116" s="62">
        <v>0.0746</v>
      </c>
      <c r="AG116" s="62">
        <v>0.181</v>
      </c>
      <c r="AH116" s="62">
        <v>0.0758</v>
      </c>
      <c r="AI116" s="62">
        <v>0.20634920634920634</v>
      </c>
      <c r="AJ116" s="62">
        <v>0.045454545454545456</v>
      </c>
      <c r="AK116" s="80">
        <v>0.1471</v>
      </c>
      <c r="AL116" s="62">
        <v>0.1045</v>
      </c>
      <c r="AM116" s="62">
        <v>0.0476</v>
      </c>
      <c r="AN116" s="62">
        <v>0.125</v>
      </c>
      <c r="AO116" s="62">
        <v>0.1791044776119403</v>
      </c>
      <c r="AP116" s="81">
        <v>0.0588</v>
      </c>
      <c r="AQ116" s="81">
        <v>0.2028985507246377</v>
      </c>
      <c r="AR116" s="81">
        <v>0.1485148514851485</v>
      </c>
      <c r="AS116" s="81">
        <v>0.1919191919191919</v>
      </c>
      <c r="AT116" s="81">
        <v>0.16666666666666666</v>
      </c>
      <c r="AU116" s="81">
        <v>0.24271844660194175</v>
      </c>
      <c r="AV116" s="81">
        <v>0.21904761904761905</v>
      </c>
      <c r="AW116" s="81">
        <v>0.0849</v>
      </c>
      <c r="AX116" s="81">
        <v>0.4</v>
      </c>
      <c r="AY116" s="81">
        <v>0.1531</v>
      </c>
      <c r="AZ116" s="81">
        <v>0.1583</v>
      </c>
      <c r="BA116" s="81">
        <v>0.17894736842105263</v>
      </c>
      <c r="BB116" s="81">
        <v>0.2571</v>
      </c>
      <c r="BC116" s="60">
        <f>AVERAGE(O116:P116)</f>
        <v>0.1</v>
      </c>
      <c r="BD116" s="60">
        <f>AVERAGE(Q116:R116)</f>
        <v>0.18</v>
      </c>
      <c r="BE116" s="60">
        <f>AVERAGE(S116:T116)</f>
        <v>0.14035</v>
      </c>
      <c r="BF116" s="60">
        <f aca="true" t="shared" si="28" ref="BF116:BF121">AVERAGE(U116:V116)</f>
        <v>0.17270000000000002</v>
      </c>
      <c r="BG116" s="62">
        <f aca="true" t="shared" si="29" ref="BG116:BG121">AVERAGE(W116:X116)</f>
        <v>0.0808</v>
      </c>
      <c r="BH116" s="62">
        <f aca="true" t="shared" si="30" ref="BH116:BH121">(Z116+Y116)/2</f>
        <v>0.11325</v>
      </c>
      <c r="BI116" s="62">
        <f aca="true" t="shared" si="31" ref="BI116:BI121">AVERAGE(AA116:AB116)</f>
        <v>0.12880217391304347</v>
      </c>
      <c r="BJ116" s="62">
        <f aca="true" t="shared" si="32" ref="BJ116:BJ121">AVERAGE(AC116:AD116)</f>
        <v>0.07064999999999999</v>
      </c>
      <c r="BK116" s="62">
        <f aca="true" t="shared" si="33" ref="BK116:BK121">AVERAGE(AE116:AF116)</f>
        <v>0.10755</v>
      </c>
      <c r="BL116" s="62">
        <f aca="true" t="shared" si="34" ref="BL116:BL121">AVERAGE(AG116:AH116)</f>
        <v>0.12840000000000001</v>
      </c>
      <c r="BM116" s="62">
        <f aca="true" t="shared" si="35" ref="BM116:BM121">AVERAGE(AI116:AJ116)</f>
        <v>0.1259018759018759</v>
      </c>
      <c r="BN116" s="62">
        <f aca="true" t="shared" si="36" ref="BN116:BN121">AVERAGE(AK116:AL116)</f>
        <v>0.1258</v>
      </c>
      <c r="BO116" s="62">
        <f aca="true" t="shared" si="37" ref="BO116:BT121">AVERAGE(AM116:AN116)</f>
        <v>0.0863</v>
      </c>
      <c r="BP116" s="62">
        <f t="shared" si="37"/>
        <v>0.15205223880597013</v>
      </c>
      <c r="BQ116" s="62">
        <f t="shared" si="37"/>
        <v>0.11895223880597014</v>
      </c>
      <c r="BR116" s="62">
        <f t="shared" si="37"/>
        <v>0.13084927536231886</v>
      </c>
      <c r="BS116" s="62">
        <f t="shared" si="37"/>
        <v>0.17570670110489311</v>
      </c>
      <c r="BT116" s="62">
        <f t="shared" si="37"/>
        <v>0.1702170217021702</v>
      </c>
      <c r="BU116" s="62">
        <f>AVERAGE(AY116:AZ116)</f>
        <v>0.1557</v>
      </c>
      <c r="BV116" s="62">
        <f>AVERAGE(BA116:BB116)</f>
        <v>0.21802368421052631</v>
      </c>
      <c r="BW116" s="61">
        <v>726</v>
      </c>
      <c r="BX116" s="54">
        <v>684</v>
      </c>
      <c r="BY116" s="54">
        <v>651</v>
      </c>
      <c r="BZ116" s="54">
        <v>692</v>
      </c>
      <c r="CA116" s="54">
        <v>751</v>
      </c>
      <c r="CB116" s="54">
        <v>716</v>
      </c>
      <c r="CC116" s="54">
        <v>716</v>
      </c>
      <c r="CD116" s="44">
        <v>716</v>
      </c>
      <c r="CE116" s="54">
        <v>697</v>
      </c>
      <c r="CF116" s="54">
        <v>695</v>
      </c>
      <c r="CG116" s="54">
        <f>622+101</f>
        <v>723</v>
      </c>
      <c r="CH116" s="54">
        <f>697+105</f>
        <v>802</v>
      </c>
      <c r="CI116" s="54">
        <f>759+106</f>
        <v>865</v>
      </c>
      <c r="CJ116" s="54">
        <f>811+101</f>
        <v>912</v>
      </c>
      <c r="CK116" s="54">
        <f>859+106</f>
        <v>965</v>
      </c>
      <c r="CL116" s="54">
        <f>898+105</f>
        <v>1003</v>
      </c>
      <c r="CM116" s="54">
        <f>921+109</f>
        <v>1030</v>
      </c>
      <c r="CN116" s="54">
        <f>933+112</f>
        <v>1045</v>
      </c>
      <c r="CO116" s="54">
        <f>937+106</f>
        <v>1043</v>
      </c>
      <c r="CP116" s="54">
        <v>1064</v>
      </c>
      <c r="CQ116" s="54">
        <v>966</v>
      </c>
      <c r="CR116" s="55">
        <v>0.59</v>
      </c>
      <c r="CS116" s="55">
        <v>0.78</v>
      </c>
      <c r="CT116" s="55">
        <v>0.71</v>
      </c>
      <c r="CU116" s="55">
        <v>0.72</v>
      </c>
      <c r="CV116" s="55">
        <v>0.81</v>
      </c>
      <c r="CW116" s="64">
        <v>0.82</v>
      </c>
      <c r="CX116" s="64">
        <v>0.92</v>
      </c>
      <c r="CY116" s="55">
        <v>0.83</v>
      </c>
      <c r="CZ116" s="55">
        <v>0.85</v>
      </c>
      <c r="DA116" s="55">
        <v>0.79</v>
      </c>
      <c r="DB116" s="55">
        <v>0.89</v>
      </c>
      <c r="DC116" s="55">
        <v>0.82</v>
      </c>
      <c r="DD116" s="55">
        <v>0.91</v>
      </c>
      <c r="DE116" s="55">
        <v>0.79</v>
      </c>
      <c r="DF116" s="55">
        <v>0.88</v>
      </c>
      <c r="DG116" s="55">
        <v>0.93</v>
      </c>
      <c r="DH116" s="55">
        <v>0.81</v>
      </c>
      <c r="DI116" s="55">
        <v>0.81</v>
      </c>
      <c r="DJ116" s="55">
        <v>0.9</v>
      </c>
      <c r="DK116" s="55">
        <v>0.8</v>
      </c>
      <c r="DL116" s="55">
        <v>0.92</v>
      </c>
      <c r="DM116" s="55">
        <v>0.85</v>
      </c>
      <c r="DN116" s="55">
        <v>0.84</v>
      </c>
      <c r="DO116" s="55">
        <v>0.7666666666666667</v>
      </c>
      <c r="DP116" s="55">
        <v>0.8526315789473684</v>
      </c>
      <c r="DQ116" s="55">
        <v>0.8666666666666667</v>
      </c>
      <c r="DR116" s="55">
        <v>0.8068181818181818</v>
      </c>
      <c r="DS116" s="55">
        <v>0.91</v>
      </c>
      <c r="DT116" s="55">
        <v>0.88</v>
      </c>
      <c r="DU116" s="55">
        <v>0.84</v>
      </c>
      <c r="DV116" s="55">
        <v>0.88</v>
      </c>
      <c r="DW116" s="55">
        <v>0.883495145631068</v>
      </c>
      <c r="DX116" s="55">
        <v>0.95</v>
      </c>
      <c r="DY116" s="122">
        <v>0.73</v>
      </c>
      <c r="DZ116" s="122">
        <v>1</v>
      </c>
      <c r="EA116" s="124">
        <v>0.636</v>
      </c>
      <c r="EB116" s="124">
        <v>1</v>
      </c>
      <c r="EC116" s="122">
        <v>0.691</v>
      </c>
      <c r="ED116" s="122">
        <v>1</v>
      </c>
      <c r="EE116" s="124">
        <v>0.552</v>
      </c>
      <c r="EF116" s="124">
        <v>1</v>
      </c>
      <c r="EG116" s="122">
        <v>0.508</v>
      </c>
      <c r="EH116" s="122">
        <v>1</v>
      </c>
      <c r="EI116" s="124">
        <v>0.597</v>
      </c>
      <c r="EJ116" s="124">
        <v>1</v>
      </c>
      <c r="EK116" s="122">
        <v>0.552</v>
      </c>
      <c r="EL116" s="122">
        <v>1</v>
      </c>
      <c r="EM116" s="124">
        <v>0.368</v>
      </c>
      <c r="EN116" s="124">
        <v>1</v>
      </c>
      <c r="EO116" s="122">
        <v>0.507</v>
      </c>
      <c r="EP116" s="122">
        <v>1</v>
      </c>
      <c r="EQ116" s="124">
        <v>0.554</v>
      </c>
      <c r="ER116" s="124">
        <v>1</v>
      </c>
      <c r="ES116" s="122">
        <v>0.626</v>
      </c>
      <c r="ET116" s="122">
        <v>1</v>
      </c>
      <c r="EU116" s="124">
        <v>0.431</v>
      </c>
      <c r="EV116" s="124">
        <v>0.957</v>
      </c>
      <c r="EW116" s="122">
        <v>0.602</v>
      </c>
      <c r="EX116" s="122">
        <v>1</v>
      </c>
      <c r="EY116" s="124">
        <v>0.41</v>
      </c>
      <c r="EZ116" s="124">
        <v>0.811</v>
      </c>
      <c r="FA116" s="122">
        <v>0.321</v>
      </c>
      <c r="FB116" s="122">
        <v>0.531</v>
      </c>
      <c r="FC116" s="124">
        <v>0.22</v>
      </c>
      <c r="FD116" s="124">
        <v>0.232</v>
      </c>
      <c r="FE116" s="122">
        <v>0</v>
      </c>
      <c r="FF116" s="122">
        <v>0</v>
      </c>
      <c r="FG116" s="124">
        <v>0</v>
      </c>
      <c r="FH116" s="124">
        <v>0</v>
      </c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</row>
    <row r="117" spans="1:256" s="58" customFormat="1" ht="12.75">
      <c r="A117" s="47" t="s">
        <v>26</v>
      </c>
      <c r="B117" s="47" t="s">
        <v>314</v>
      </c>
      <c r="C117" s="39" t="s">
        <v>14</v>
      </c>
      <c r="D117" s="39">
        <v>5091100006</v>
      </c>
      <c r="E117" s="39">
        <v>571101006</v>
      </c>
      <c r="F117" s="26" t="s">
        <v>127</v>
      </c>
      <c r="G117" s="10" t="s">
        <v>318</v>
      </c>
      <c r="H117" s="10" t="s">
        <v>67</v>
      </c>
      <c r="I117" s="10" t="s">
        <v>165</v>
      </c>
      <c r="J117" s="10" t="s">
        <v>170</v>
      </c>
      <c r="K117" s="61">
        <v>1</v>
      </c>
      <c r="L117" s="75" t="s">
        <v>23</v>
      </c>
      <c r="M117" s="62" t="s">
        <v>21</v>
      </c>
      <c r="N117" s="62"/>
      <c r="O117" s="62">
        <v>0.3333</v>
      </c>
      <c r="P117" s="62">
        <v>0.1831</v>
      </c>
      <c r="Q117" s="60">
        <v>0.3317</v>
      </c>
      <c r="R117" s="60">
        <v>0.1774</v>
      </c>
      <c r="S117" s="93">
        <v>0.33</v>
      </c>
      <c r="T117" s="60">
        <v>0.128</v>
      </c>
      <c r="U117" s="60">
        <v>0.342</v>
      </c>
      <c r="V117" s="60">
        <v>0.085</v>
      </c>
      <c r="W117" s="60">
        <v>0.1735</v>
      </c>
      <c r="X117" s="62">
        <v>0.2</v>
      </c>
      <c r="Y117" s="62">
        <v>0.2073</v>
      </c>
      <c r="Z117" s="62">
        <v>0.199</v>
      </c>
      <c r="AA117" s="62">
        <v>0.32124352331606215</v>
      </c>
      <c r="AB117" s="62">
        <v>0.1553</v>
      </c>
      <c r="AC117" s="62">
        <v>0.1925</v>
      </c>
      <c r="AD117" s="62">
        <v>0.089</v>
      </c>
      <c r="AE117" s="62">
        <v>0.1269</v>
      </c>
      <c r="AF117" s="62">
        <v>0.058</v>
      </c>
      <c r="AG117" s="62">
        <v>0.1679</v>
      </c>
      <c r="AH117" s="62">
        <v>0.1259</v>
      </c>
      <c r="AI117" s="62">
        <v>0.18620689655172415</v>
      </c>
      <c r="AJ117" s="62">
        <v>0.06</v>
      </c>
      <c r="AK117" s="80">
        <v>0.2653</v>
      </c>
      <c r="AL117" s="62">
        <v>0.1176</v>
      </c>
      <c r="AM117" s="62">
        <v>0.1857</v>
      </c>
      <c r="AN117" s="62">
        <v>0.1342</v>
      </c>
      <c r="AO117" s="62">
        <v>0.272108843537415</v>
      </c>
      <c r="AP117" s="81">
        <v>0.1907</v>
      </c>
      <c r="AQ117" s="81">
        <v>0.3333333333333333</v>
      </c>
      <c r="AR117" s="81">
        <v>0.1507537688442211</v>
      </c>
      <c r="AS117" s="81">
        <v>0.25405405405405407</v>
      </c>
      <c r="AT117" s="81">
        <v>0.13592233009708737</v>
      </c>
      <c r="AU117" s="81">
        <v>0.2356020942408377</v>
      </c>
      <c r="AV117" s="81">
        <v>0.2222222222222222</v>
      </c>
      <c r="AW117" s="81">
        <v>0.3167</v>
      </c>
      <c r="AX117" s="81">
        <v>0.343</v>
      </c>
      <c r="AY117" s="88" t="s">
        <v>211</v>
      </c>
      <c r="AZ117" s="88" t="s">
        <v>211</v>
      </c>
      <c r="BA117" s="88" t="s">
        <v>211</v>
      </c>
      <c r="BB117" s="88" t="s">
        <v>211</v>
      </c>
      <c r="BC117" s="60">
        <f>AVERAGE(O117:P117)</f>
        <v>0.2582</v>
      </c>
      <c r="BD117" s="60">
        <f>AVERAGE(Q117:R117)</f>
        <v>0.25455</v>
      </c>
      <c r="BE117" s="60">
        <f>AVERAGE(S117:T117)</f>
        <v>0.229</v>
      </c>
      <c r="BF117" s="60">
        <f t="shared" si="28"/>
        <v>0.21350000000000002</v>
      </c>
      <c r="BG117" s="62">
        <f t="shared" si="29"/>
        <v>0.18675</v>
      </c>
      <c r="BH117" s="62">
        <f t="shared" si="30"/>
        <v>0.20315</v>
      </c>
      <c r="BI117" s="62">
        <f t="shared" si="31"/>
        <v>0.23827176165803107</v>
      </c>
      <c r="BJ117" s="62">
        <f t="shared" si="32"/>
        <v>0.14075</v>
      </c>
      <c r="BK117" s="62">
        <f t="shared" si="33"/>
        <v>0.09245</v>
      </c>
      <c r="BL117" s="62">
        <f t="shared" si="34"/>
        <v>0.1469</v>
      </c>
      <c r="BM117" s="62">
        <f t="shared" si="35"/>
        <v>0.12310344827586207</v>
      </c>
      <c r="BN117" s="62">
        <f t="shared" si="36"/>
        <v>0.19144999999999998</v>
      </c>
      <c r="BO117" s="62">
        <f t="shared" si="37"/>
        <v>0.15995</v>
      </c>
      <c r="BP117" s="62">
        <f t="shared" si="37"/>
        <v>0.20315442176870752</v>
      </c>
      <c r="BQ117" s="62">
        <f t="shared" si="37"/>
        <v>0.2314044217687075</v>
      </c>
      <c r="BR117" s="62">
        <f t="shared" si="37"/>
        <v>0.2620166666666667</v>
      </c>
      <c r="BS117" s="62">
        <f t="shared" si="37"/>
        <v>0.2420435510887772</v>
      </c>
      <c r="BT117" s="62">
        <f t="shared" si="37"/>
        <v>0.20240391144913758</v>
      </c>
      <c r="BU117" s="62"/>
      <c r="BV117" s="62"/>
      <c r="BW117" s="61">
        <v>1500</v>
      </c>
      <c r="BX117" s="54">
        <v>1608</v>
      </c>
      <c r="BY117" s="54">
        <v>1567</v>
      </c>
      <c r="BZ117" s="54">
        <v>1765</v>
      </c>
      <c r="CA117" s="61">
        <v>1575</v>
      </c>
      <c r="CB117" s="61">
        <v>1532</v>
      </c>
      <c r="CC117" s="61">
        <v>1607</v>
      </c>
      <c r="CD117" s="138">
        <v>1527</v>
      </c>
      <c r="CE117" s="61">
        <v>1583</v>
      </c>
      <c r="CF117" s="61">
        <v>1599</v>
      </c>
      <c r="CG117" s="61">
        <f>1447+199</f>
        <v>1646</v>
      </c>
      <c r="CH117" s="54">
        <f>1596+198</f>
        <v>1794</v>
      </c>
      <c r="CI117" s="54">
        <f>1702+206</f>
        <v>1908</v>
      </c>
      <c r="CJ117" s="54">
        <f>1931+208</f>
        <v>2139</v>
      </c>
      <c r="CK117" s="121">
        <f>1889+210</f>
        <v>2099</v>
      </c>
      <c r="CL117" s="121">
        <f>1939+210</f>
        <v>2149</v>
      </c>
      <c r="CM117" s="121">
        <f>1887+220</f>
        <v>2107</v>
      </c>
      <c r="CN117" s="121">
        <f>1890+229</f>
        <v>2119</v>
      </c>
      <c r="CO117" s="121">
        <f>1736+209</f>
        <v>1945</v>
      </c>
      <c r="CP117" s="121">
        <v>1829</v>
      </c>
      <c r="CQ117" s="121">
        <v>1890</v>
      </c>
      <c r="CR117" s="55">
        <v>0.88</v>
      </c>
      <c r="CS117" s="55">
        <v>0.8</v>
      </c>
      <c r="CT117" s="55">
        <v>0.93</v>
      </c>
      <c r="CU117" s="55">
        <v>0.88</v>
      </c>
      <c r="CV117" s="55">
        <v>0.87</v>
      </c>
      <c r="CW117" s="64">
        <v>0.76</v>
      </c>
      <c r="CX117" s="64">
        <v>0.85</v>
      </c>
      <c r="CY117" s="55">
        <v>0.8</v>
      </c>
      <c r="CZ117" s="55">
        <v>0.89</v>
      </c>
      <c r="DA117" s="55">
        <v>0.89</v>
      </c>
      <c r="DB117" s="55">
        <v>0.91</v>
      </c>
      <c r="DC117" s="55">
        <v>0.9</v>
      </c>
      <c r="DD117" s="55">
        <v>0.9</v>
      </c>
      <c r="DE117" s="55">
        <v>0.87</v>
      </c>
      <c r="DF117" s="55">
        <v>0.95</v>
      </c>
      <c r="DG117" s="55">
        <v>0.91</v>
      </c>
      <c r="DH117" s="55">
        <v>0.95</v>
      </c>
      <c r="DI117" s="55">
        <v>0.92</v>
      </c>
      <c r="DJ117" s="55">
        <v>0.85</v>
      </c>
      <c r="DK117" s="55">
        <v>0.7427184466019418</v>
      </c>
      <c r="DL117" s="55">
        <v>0.9</v>
      </c>
      <c r="DM117" s="55">
        <v>0.92</v>
      </c>
      <c r="DN117" s="55">
        <v>0.88</v>
      </c>
      <c r="DO117" s="55">
        <v>0.8921568627450981</v>
      </c>
      <c r="DP117" s="55">
        <v>0.8743961352657005</v>
      </c>
      <c r="DQ117" s="55">
        <v>0.7560975609756098</v>
      </c>
      <c r="DR117" s="55">
        <v>0.8520408163265306</v>
      </c>
      <c r="DS117" s="55">
        <v>0.79</v>
      </c>
      <c r="DT117" s="55">
        <v>0.83</v>
      </c>
      <c r="DU117" s="55">
        <v>0.86</v>
      </c>
      <c r="DV117" s="55">
        <v>0.85</v>
      </c>
      <c r="DW117" s="55">
        <v>0.8522167487684729</v>
      </c>
      <c r="DX117" s="55">
        <v>0.87</v>
      </c>
      <c r="DY117" s="122">
        <v>0.834</v>
      </c>
      <c r="DZ117" s="122">
        <v>1</v>
      </c>
      <c r="EA117" s="124">
        <v>0.793</v>
      </c>
      <c r="EB117" s="124">
        <v>0.992</v>
      </c>
      <c r="EC117" s="122">
        <v>0.85</v>
      </c>
      <c r="ED117" s="122">
        <v>0.962</v>
      </c>
      <c r="EE117" s="124">
        <v>0.778</v>
      </c>
      <c r="EF117" s="124">
        <v>0.983</v>
      </c>
      <c r="EG117" s="122">
        <v>0.771</v>
      </c>
      <c r="EH117" s="122">
        <v>0.939</v>
      </c>
      <c r="EI117" s="124">
        <v>0.721</v>
      </c>
      <c r="EJ117" s="124">
        <v>1</v>
      </c>
      <c r="EK117" s="122">
        <v>0.816</v>
      </c>
      <c r="EL117" s="122">
        <v>1</v>
      </c>
      <c r="EM117" s="124">
        <v>0.746</v>
      </c>
      <c r="EN117" s="124">
        <v>1</v>
      </c>
      <c r="EO117" s="122">
        <v>0.765</v>
      </c>
      <c r="EP117" s="122">
        <v>1</v>
      </c>
      <c r="EQ117" s="124">
        <v>0.704</v>
      </c>
      <c r="ER117" s="124">
        <v>0.875</v>
      </c>
      <c r="ES117" s="122">
        <v>0.714</v>
      </c>
      <c r="ET117" s="122">
        <v>0.898</v>
      </c>
      <c r="EU117" s="124">
        <v>0.573</v>
      </c>
      <c r="EV117" s="124">
        <v>0.678</v>
      </c>
      <c r="EW117" s="122">
        <v>0.529</v>
      </c>
      <c r="EX117" s="122">
        <v>0.635</v>
      </c>
      <c r="EY117" s="124">
        <v>0.338</v>
      </c>
      <c r="EZ117" s="124">
        <v>0.414</v>
      </c>
      <c r="FA117" s="122">
        <v>0.206</v>
      </c>
      <c r="FB117" s="122">
        <v>0.264</v>
      </c>
      <c r="FC117" s="124">
        <v>0</v>
      </c>
      <c r="FD117" s="124">
        <v>0</v>
      </c>
      <c r="FE117" s="122"/>
      <c r="FF117" s="122"/>
      <c r="FG117" s="124"/>
      <c r="FH117" s="124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  <c r="IS117" s="57"/>
      <c r="IT117" s="57"/>
      <c r="IU117" s="57"/>
      <c r="IV117" s="57"/>
    </row>
    <row r="118" spans="1:256" s="58" customFormat="1" ht="12.75">
      <c r="A118" s="47" t="s">
        <v>26</v>
      </c>
      <c r="B118" s="47" t="s">
        <v>314</v>
      </c>
      <c r="C118" s="39" t="s">
        <v>14</v>
      </c>
      <c r="D118" s="39">
        <v>5095400009</v>
      </c>
      <c r="E118" s="39">
        <v>571600003</v>
      </c>
      <c r="F118" s="26" t="s">
        <v>104</v>
      </c>
      <c r="G118" s="10" t="s">
        <v>318</v>
      </c>
      <c r="H118" s="10" t="s">
        <v>67</v>
      </c>
      <c r="I118" s="10" t="s">
        <v>165</v>
      </c>
      <c r="J118" s="10" t="s">
        <v>170</v>
      </c>
      <c r="K118" s="61">
        <v>1</v>
      </c>
      <c r="L118" s="75" t="s">
        <v>23</v>
      </c>
      <c r="M118" s="62" t="s">
        <v>21</v>
      </c>
      <c r="N118" s="62"/>
      <c r="O118" s="62">
        <v>0.0588</v>
      </c>
      <c r="P118" s="62">
        <v>0.0385</v>
      </c>
      <c r="Q118" s="60">
        <v>0</v>
      </c>
      <c r="R118" s="60">
        <v>0</v>
      </c>
      <c r="S118" s="60">
        <v>0.07894736842105263</v>
      </c>
      <c r="T118" s="60">
        <v>0.0571</v>
      </c>
      <c r="U118" s="60">
        <v>0.0741</v>
      </c>
      <c r="V118" s="60">
        <v>0.01694915254237288</v>
      </c>
      <c r="W118" s="60">
        <v>0.0227</v>
      </c>
      <c r="X118" s="62">
        <v>0.0227</v>
      </c>
      <c r="Y118" s="62">
        <v>0.0217</v>
      </c>
      <c r="Z118" s="62">
        <v>0.0556</v>
      </c>
      <c r="AA118" s="62">
        <v>0.09523809523809523</v>
      </c>
      <c r="AB118" s="62">
        <v>0.28125</v>
      </c>
      <c r="AC118" s="62">
        <v>0.2222</v>
      </c>
      <c r="AD118" s="62">
        <v>0.093</v>
      </c>
      <c r="AE118" s="62">
        <v>0.0625</v>
      </c>
      <c r="AF118" s="62">
        <v>0.0278</v>
      </c>
      <c r="AG118" s="62">
        <v>0.2222</v>
      </c>
      <c r="AH118" s="62">
        <v>0.1282</v>
      </c>
      <c r="AI118" s="62">
        <v>0.23809523809523808</v>
      </c>
      <c r="AJ118" s="62">
        <v>0.14814814814814814</v>
      </c>
      <c r="AK118" s="80">
        <v>0.2222</v>
      </c>
      <c r="AL118" s="62">
        <v>0.425</v>
      </c>
      <c r="AM118" s="62">
        <v>0.12</v>
      </c>
      <c r="AN118" s="62">
        <v>0.25</v>
      </c>
      <c r="AO118" s="62">
        <v>0.13333333333333333</v>
      </c>
      <c r="AP118" s="81">
        <v>0.2286</v>
      </c>
      <c r="AQ118" s="81">
        <v>0.13043478260869565</v>
      </c>
      <c r="AR118" s="81">
        <v>0.12903225806451613</v>
      </c>
      <c r="AS118" s="81">
        <v>0.13636363636363635</v>
      </c>
      <c r="AT118" s="81">
        <v>0.21212121212121213</v>
      </c>
      <c r="AU118" s="81">
        <v>0.07142857142857142</v>
      </c>
      <c r="AV118" s="81">
        <v>0.2857142857142857</v>
      </c>
      <c r="AW118" s="81">
        <v>0.037</v>
      </c>
      <c r="AX118" s="81">
        <v>0.1</v>
      </c>
      <c r="AY118" s="81">
        <v>0.1</v>
      </c>
      <c r="AZ118" s="81">
        <v>0.2264</v>
      </c>
      <c r="BA118" s="81">
        <v>0.23076923076923078</v>
      </c>
      <c r="BB118" s="81">
        <v>0.4815</v>
      </c>
      <c r="BC118" s="60">
        <f>AVERAGE(O118:P118)</f>
        <v>0.04865</v>
      </c>
      <c r="BD118" s="60">
        <f>AVERAGE(Q118:R118)</f>
        <v>0</v>
      </c>
      <c r="BE118" s="60">
        <f>AVERAGE(S118:T118)</f>
        <v>0.06802368421052632</v>
      </c>
      <c r="BF118" s="60">
        <f t="shared" si="28"/>
        <v>0.04552457627118644</v>
      </c>
      <c r="BG118" s="62">
        <f t="shared" si="29"/>
        <v>0.0227</v>
      </c>
      <c r="BH118" s="62">
        <f t="shared" si="30"/>
        <v>0.03865</v>
      </c>
      <c r="BI118" s="62">
        <f t="shared" si="31"/>
        <v>0.18824404761904762</v>
      </c>
      <c r="BJ118" s="62">
        <f t="shared" si="32"/>
        <v>0.15760000000000002</v>
      </c>
      <c r="BK118" s="62">
        <f t="shared" si="33"/>
        <v>0.045149999999999996</v>
      </c>
      <c r="BL118" s="62">
        <f t="shared" si="34"/>
        <v>0.17520000000000002</v>
      </c>
      <c r="BM118" s="62">
        <f t="shared" si="35"/>
        <v>0.1931216931216931</v>
      </c>
      <c r="BN118" s="62">
        <f t="shared" si="36"/>
        <v>0.3236</v>
      </c>
      <c r="BO118" s="62">
        <f t="shared" si="37"/>
        <v>0.185</v>
      </c>
      <c r="BP118" s="62">
        <f t="shared" si="37"/>
        <v>0.19166666666666665</v>
      </c>
      <c r="BQ118" s="62">
        <f t="shared" si="37"/>
        <v>0.18096666666666666</v>
      </c>
      <c r="BR118" s="62">
        <f t="shared" si="37"/>
        <v>0.17951739130434782</v>
      </c>
      <c r="BS118" s="62">
        <f t="shared" si="37"/>
        <v>0.1297335203366059</v>
      </c>
      <c r="BT118" s="62">
        <f t="shared" si="37"/>
        <v>0.13269794721407624</v>
      </c>
      <c r="BU118" s="62">
        <f>AVERAGE(AY118:AZ118)</f>
        <v>0.1632</v>
      </c>
      <c r="BV118" s="62">
        <f>AVERAGE(BA118:BB118)</f>
        <v>0.3561346153846154</v>
      </c>
      <c r="BW118" s="61">
        <v>184</v>
      </c>
      <c r="BX118" s="54">
        <v>188</v>
      </c>
      <c r="BY118" s="54">
        <v>155</v>
      </c>
      <c r="BZ118" s="54">
        <v>137</v>
      </c>
      <c r="CA118" s="54">
        <v>158</v>
      </c>
      <c r="CB118" s="54">
        <v>155</v>
      </c>
      <c r="CC118" s="54">
        <v>191</v>
      </c>
      <c r="CD118" s="44">
        <v>171</v>
      </c>
      <c r="CE118" s="54">
        <v>206</v>
      </c>
      <c r="CF118" s="54">
        <v>211</v>
      </c>
      <c r="CG118" s="54">
        <f>196+25</f>
        <v>221</v>
      </c>
      <c r="CH118" s="54">
        <f>187+21</f>
        <v>208</v>
      </c>
      <c r="CI118" s="54">
        <f>191+14</f>
        <v>205</v>
      </c>
      <c r="CJ118" s="54">
        <f>185+27</f>
        <v>212</v>
      </c>
      <c r="CK118" s="54">
        <f>206+30</f>
        <v>236</v>
      </c>
      <c r="CL118" s="54">
        <f>231+14</f>
        <v>245</v>
      </c>
      <c r="CM118" s="54">
        <f>240+41</f>
        <v>281</v>
      </c>
      <c r="CN118" s="54">
        <f>276+42</f>
        <v>318</v>
      </c>
      <c r="CO118" s="54">
        <f>302+56</f>
        <v>358</v>
      </c>
      <c r="CP118" s="54">
        <v>399</v>
      </c>
      <c r="CQ118" s="54">
        <v>396</v>
      </c>
      <c r="CR118" s="55">
        <v>0.32</v>
      </c>
      <c r="CS118" s="55">
        <v>0.5</v>
      </c>
      <c r="CT118" s="55">
        <v>0.53</v>
      </c>
      <c r="CU118" s="55">
        <v>0.74</v>
      </c>
      <c r="CV118" s="55">
        <v>0.89</v>
      </c>
      <c r="CW118" s="64">
        <v>0.67</v>
      </c>
      <c r="CX118" s="64">
        <v>0.59</v>
      </c>
      <c r="CY118" s="55">
        <v>0.71</v>
      </c>
      <c r="CZ118" s="55">
        <v>0.7</v>
      </c>
      <c r="DA118" s="55">
        <v>0.89</v>
      </c>
      <c r="DB118" s="55">
        <v>0.88</v>
      </c>
      <c r="DC118" s="55">
        <v>0.48</v>
      </c>
      <c r="DD118" s="55">
        <v>0.84</v>
      </c>
      <c r="DE118" s="55">
        <v>0.73</v>
      </c>
      <c r="DF118" s="55">
        <v>0.66</v>
      </c>
      <c r="DG118" s="55">
        <v>0.7</v>
      </c>
      <c r="DH118" s="55">
        <v>0.81</v>
      </c>
      <c r="DI118" s="55">
        <v>0.77</v>
      </c>
      <c r="DJ118" s="55">
        <v>0.76</v>
      </c>
      <c r="DK118" s="55">
        <v>0.7142857142857143</v>
      </c>
      <c r="DL118" s="55">
        <v>0.71</v>
      </c>
      <c r="DM118" s="55">
        <v>0.78</v>
      </c>
      <c r="DN118" s="55">
        <v>0.74</v>
      </c>
      <c r="DO118" s="55">
        <v>0.6</v>
      </c>
      <c r="DP118" s="55">
        <v>0.7169811320754716</v>
      </c>
      <c r="DQ118" s="55">
        <v>0.6923076923076923</v>
      </c>
      <c r="DR118" s="55">
        <v>0.7037037037037037</v>
      </c>
      <c r="DS118" s="55">
        <v>0.78</v>
      </c>
      <c r="DT118" s="55">
        <v>0.75</v>
      </c>
      <c r="DU118" s="55">
        <v>0.69</v>
      </c>
      <c r="DV118" s="55">
        <v>0.83</v>
      </c>
      <c r="DW118" s="55">
        <v>0.8490566037735849</v>
      </c>
      <c r="DX118" s="55">
        <v>0.87</v>
      </c>
      <c r="DY118" s="122"/>
      <c r="DZ118" s="122"/>
      <c r="EA118" s="124">
        <v>0.571</v>
      </c>
      <c r="EB118" s="124">
        <v>1</v>
      </c>
      <c r="EC118" s="122">
        <v>0.407</v>
      </c>
      <c r="ED118" s="122">
        <v>1</v>
      </c>
      <c r="EE118" s="124">
        <v>0.5</v>
      </c>
      <c r="EF118" s="124">
        <v>1</v>
      </c>
      <c r="EG118" s="122">
        <v>0.75</v>
      </c>
      <c r="EH118" s="122">
        <v>1</v>
      </c>
      <c r="EI118" s="124">
        <v>0.4</v>
      </c>
      <c r="EJ118" s="124">
        <v>0.909</v>
      </c>
      <c r="EK118" s="122">
        <v>0.469</v>
      </c>
      <c r="EL118" s="122">
        <v>1</v>
      </c>
      <c r="EM118" s="124">
        <v>0.533</v>
      </c>
      <c r="EN118" s="124">
        <v>1</v>
      </c>
      <c r="EO118" s="122">
        <v>0.457</v>
      </c>
      <c r="EP118" s="122">
        <v>0.941</v>
      </c>
      <c r="EQ118" s="124">
        <v>0.435</v>
      </c>
      <c r="ER118" s="124">
        <v>1</v>
      </c>
      <c r="ES118" s="122">
        <v>0.581</v>
      </c>
      <c r="ET118" s="122">
        <v>0.9</v>
      </c>
      <c r="EU118" s="124">
        <v>0.5</v>
      </c>
      <c r="EV118" s="124">
        <v>1</v>
      </c>
      <c r="EW118" s="122">
        <v>0.606</v>
      </c>
      <c r="EX118" s="122">
        <v>1</v>
      </c>
      <c r="EY118" s="124">
        <v>0.429</v>
      </c>
      <c r="EZ118" s="124">
        <v>0.714</v>
      </c>
      <c r="FA118" s="122">
        <v>0.222</v>
      </c>
      <c r="FB118" s="122">
        <v>0.5</v>
      </c>
      <c r="FC118" s="124">
        <v>0.18</v>
      </c>
      <c r="FD118" s="124">
        <v>0.391</v>
      </c>
      <c r="FE118" s="122">
        <v>0</v>
      </c>
      <c r="FF118" s="122">
        <v>0</v>
      </c>
      <c r="FG118" s="124">
        <v>0</v>
      </c>
      <c r="FH118" s="124">
        <v>0</v>
      </c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  <c r="IT118" s="57"/>
      <c r="IU118" s="57"/>
      <c r="IV118" s="57"/>
    </row>
    <row r="119" spans="1:256" s="58" customFormat="1" ht="12.75">
      <c r="A119" s="47" t="s">
        <v>26</v>
      </c>
      <c r="B119" s="47" t="s">
        <v>314</v>
      </c>
      <c r="C119" s="39" t="s">
        <v>14</v>
      </c>
      <c r="D119" s="39">
        <v>5031100007</v>
      </c>
      <c r="E119" s="39">
        <v>531100014</v>
      </c>
      <c r="F119" s="26" t="s">
        <v>105</v>
      </c>
      <c r="G119" s="10" t="s">
        <v>318</v>
      </c>
      <c r="H119" s="10" t="s">
        <v>66</v>
      </c>
      <c r="I119" s="10" t="s">
        <v>165</v>
      </c>
      <c r="J119" s="10" t="s">
        <v>170</v>
      </c>
      <c r="K119" s="61">
        <v>1</v>
      </c>
      <c r="L119" s="75" t="s">
        <v>23</v>
      </c>
      <c r="M119" s="62" t="s">
        <v>21</v>
      </c>
      <c r="N119" s="62"/>
      <c r="O119" s="76"/>
      <c r="P119" s="76"/>
      <c r="Q119" s="76"/>
      <c r="R119" s="76"/>
      <c r="S119" s="76"/>
      <c r="T119" s="60">
        <v>0.6549</v>
      </c>
      <c r="U119" s="60">
        <v>0.5882</v>
      </c>
      <c r="V119" s="60">
        <v>0.6223776223776224</v>
      </c>
      <c r="W119" s="60">
        <v>0.5042</v>
      </c>
      <c r="X119" s="62">
        <v>0.7328</v>
      </c>
      <c r="Y119" s="62">
        <v>0.6053</v>
      </c>
      <c r="Z119" s="62">
        <v>0.752</v>
      </c>
      <c r="AA119" s="62">
        <v>0.5785714285714286</v>
      </c>
      <c r="AB119" s="62">
        <v>0.6881</v>
      </c>
      <c r="AC119" s="62">
        <v>0.5377</v>
      </c>
      <c r="AD119" s="62">
        <v>0.6460176991150443</v>
      </c>
      <c r="AE119" s="62">
        <v>0.6486486486486487</v>
      </c>
      <c r="AF119" s="62">
        <v>0.6699029126213593</v>
      </c>
      <c r="AG119" s="62">
        <v>0.735632183908046</v>
      </c>
      <c r="AH119" s="62">
        <v>0.8125</v>
      </c>
      <c r="AI119" s="62">
        <v>0.7159090909090909</v>
      </c>
      <c r="AJ119" s="62">
        <v>0.7108433734939759</v>
      </c>
      <c r="AK119" s="80">
        <v>0.6239316239316239</v>
      </c>
      <c r="AL119" s="62">
        <v>0.6126126126126126</v>
      </c>
      <c r="AM119" s="62">
        <v>0.5172413793103449</v>
      </c>
      <c r="AN119" s="62">
        <v>0.6625</v>
      </c>
      <c r="AO119" s="62">
        <v>0.686046511627907</v>
      </c>
      <c r="AP119" s="81">
        <v>0.6063829787234043</v>
      </c>
      <c r="AQ119" s="81">
        <v>0.5983606557377049</v>
      </c>
      <c r="AR119" s="96">
        <v>0.6346153846153846</v>
      </c>
      <c r="AS119" s="96">
        <v>0.5517241379310345</v>
      </c>
      <c r="AT119" s="96">
        <v>0.4434782608695652</v>
      </c>
      <c r="AU119" s="96">
        <v>0.425</v>
      </c>
      <c r="AV119" s="96">
        <v>0.4626865671641791</v>
      </c>
      <c r="AW119" s="96">
        <v>0.5573</v>
      </c>
      <c r="AX119" s="96">
        <v>0.5659</v>
      </c>
      <c r="AY119" s="96">
        <v>0.5217</v>
      </c>
      <c r="AZ119" s="96">
        <v>0.6</v>
      </c>
      <c r="BA119" s="96">
        <v>0.7627118644067796</v>
      </c>
      <c r="BB119" s="96">
        <v>0.6081</v>
      </c>
      <c r="BC119" s="60"/>
      <c r="BD119" s="60"/>
      <c r="BE119" s="60">
        <f>AVERAGE(S119:T119)</f>
        <v>0.6549</v>
      </c>
      <c r="BF119" s="60">
        <f t="shared" si="28"/>
        <v>0.6052888111888112</v>
      </c>
      <c r="BG119" s="62">
        <f t="shared" si="29"/>
        <v>0.6185</v>
      </c>
      <c r="BH119" s="62">
        <f t="shared" si="30"/>
        <v>0.67865</v>
      </c>
      <c r="BI119" s="62">
        <f t="shared" si="31"/>
        <v>0.6333357142857143</v>
      </c>
      <c r="BJ119" s="62">
        <f t="shared" si="32"/>
        <v>0.5918588495575221</v>
      </c>
      <c r="BK119" s="62">
        <f t="shared" si="33"/>
        <v>0.659275780635004</v>
      </c>
      <c r="BL119" s="62">
        <f t="shared" si="34"/>
        <v>0.774066091954023</v>
      </c>
      <c r="BM119" s="62">
        <f t="shared" si="35"/>
        <v>0.7133762322015333</v>
      </c>
      <c r="BN119" s="62">
        <f t="shared" si="36"/>
        <v>0.6182721182721183</v>
      </c>
      <c r="BO119" s="62">
        <f t="shared" si="37"/>
        <v>0.5898706896551724</v>
      </c>
      <c r="BP119" s="62">
        <f t="shared" si="37"/>
        <v>0.6742732558139535</v>
      </c>
      <c r="BQ119" s="62">
        <f t="shared" si="37"/>
        <v>0.6462147451756557</v>
      </c>
      <c r="BR119" s="62">
        <f t="shared" si="37"/>
        <v>0.6023718172305546</v>
      </c>
      <c r="BS119" s="62">
        <f t="shared" si="37"/>
        <v>0.6164880201765448</v>
      </c>
      <c r="BT119" s="62">
        <f t="shared" si="37"/>
        <v>0.5931697612732095</v>
      </c>
      <c r="BU119" s="62">
        <f>AVERAGE(AY119:AZ119)</f>
        <v>0.5608500000000001</v>
      </c>
      <c r="BV119" s="62">
        <f>AVERAGE(BA119:BB119)</f>
        <v>0.6854059322033899</v>
      </c>
      <c r="BW119" s="61">
        <v>458</v>
      </c>
      <c r="BX119" s="54">
        <v>649</v>
      </c>
      <c r="BY119" s="54">
        <v>845</v>
      </c>
      <c r="BZ119" s="54">
        <v>1053</v>
      </c>
      <c r="CA119" s="54">
        <v>1080</v>
      </c>
      <c r="CB119" s="54">
        <v>1032</v>
      </c>
      <c r="CC119" s="54">
        <v>996</v>
      </c>
      <c r="CD119" s="44">
        <v>957</v>
      </c>
      <c r="CE119" s="54">
        <v>941</v>
      </c>
      <c r="CF119" s="54">
        <v>878</v>
      </c>
      <c r="CG119" s="54">
        <f>745+122</f>
        <v>867</v>
      </c>
      <c r="CH119" s="54">
        <f>779+118</f>
        <v>897</v>
      </c>
      <c r="CI119" s="54">
        <f>827+117</f>
        <v>944</v>
      </c>
      <c r="CJ119" s="54">
        <f>874+132</f>
        <v>1006</v>
      </c>
      <c r="CK119" s="54">
        <f>917+139</f>
        <v>1056</v>
      </c>
      <c r="CL119" s="54">
        <f>979+147</f>
        <v>1126</v>
      </c>
      <c r="CM119" s="54">
        <f>1046+162</f>
        <v>1208</v>
      </c>
      <c r="CN119" s="54">
        <f>1099+163</f>
        <v>1262</v>
      </c>
      <c r="CO119" s="54">
        <f>1140+166</f>
        <v>1306</v>
      </c>
      <c r="CP119" s="54">
        <v>1340</v>
      </c>
      <c r="CQ119" s="54">
        <v>1157</v>
      </c>
      <c r="CR119" s="55">
        <v>0.91</v>
      </c>
      <c r="CS119" s="55">
        <v>0.88</v>
      </c>
      <c r="CT119" s="55">
        <v>0.86</v>
      </c>
      <c r="CU119" s="55">
        <v>0.96</v>
      </c>
      <c r="CV119" s="55">
        <v>0.94</v>
      </c>
      <c r="CW119" s="64">
        <v>0.93</v>
      </c>
      <c r="CX119" s="64">
        <v>1</v>
      </c>
      <c r="CY119" s="55">
        <v>0.88</v>
      </c>
      <c r="CZ119" s="55">
        <v>0.94</v>
      </c>
      <c r="DA119" s="55">
        <v>0.9</v>
      </c>
      <c r="DB119" s="55">
        <v>0.92</v>
      </c>
      <c r="DC119" s="55">
        <v>0.87</v>
      </c>
      <c r="DD119" s="55">
        <v>0.91</v>
      </c>
      <c r="DE119" s="55">
        <v>0.88</v>
      </c>
      <c r="DF119" s="55">
        <v>0.8</v>
      </c>
      <c r="DG119" s="55">
        <v>0.85</v>
      </c>
      <c r="DH119" s="55">
        <v>0.93</v>
      </c>
      <c r="DI119" s="55">
        <v>0.91</v>
      </c>
      <c r="DJ119" s="55">
        <v>0.84</v>
      </c>
      <c r="DK119" s="55">
        <v>0.7583333333333333</v>
      </c>
      <c r="DL119" s="55">
        <v>0.84</v>
      </c>
      <c r="DM119" s="55">
        <v>0.84</v>
      </c>
      <c r="DN119" s="55">
        <v>0.89</v>
      </c>
      <c r="DO119" s="55">
        <v>0.8623188405797102</v>
      </c>
      <c r="DP119" s="55">
        <v>0.9153846153846154</v>
      </c>
      <c r="DQ119" s="55">
        <v>0.7972027972027972</v>
      </c>
      <c r="DR119" s="55">
        <v>0.831081081081081</v>
      </c>
      <c r="DS119" s="55">
        <v>0.9</v>
      </c>
      <c r="DT119" s="55">
        <v>0.87</v>
      </c>
      <c r="DU119" s="55">
        <v>0.83</v>
      </c>
      <c r="DV119" s="55">
        <v>0.87</v>
      </c>
      <c r="DW119" s="55">
        <v>0.8227848101265823</v>
      </c>
      <c r="DX119" s="55">
        <v>0.9</v>
      </c>
      <c r="DY119" s="122">
        <v>0.807</v>
      </c>
      <c r="DZ119" s="122">
        <v>0.973</v>
      </c>
      <c r="EA119" s="124">
        <v>0.88</v>
      </c>
      <c r="EB119" s="124">
        <v>0.973</v>
      </c>
      <c r="EC119" s="122">
        <v>0.718</v>
      </c>
      <c r="ED119" s="122">
        <v>0.988</v>
      </c>
      <c r="EE119" s="124">
        <v>0.82</v>
      </c>
      <c r="EF119" s="124">
        <v>1</v>
      </c>
      <c r="EG119" s="122">
        <v>0.667</v>
      </c>
      <c r="EH119" s="122">
        <v>0.967</v>
      </c>
      <c r="EI119" s="124">
        <v>0.775</v>
      </c>
      <c r="EJ119" s="124">
        <v>0.954</v>
      </c>
      <c r="EK119" s="122">
        <v>0.747</v>
      </c>
      <c r="EL119" s="122">
        <v>0.956</v>
      </c>
      <c r="EM119" s="124">
        <v>0.833</v>
      </c>
      <c r="EN119" s="124">
        <v>1</v>
      </c>
      <c r="EO119" s="122">
        <v>0.742</v>
      </c>
      <c r="EP119" s="122">
        <v>0.937</v>
      </c>
      <c r="EQ119" s="124">
        <v>0.796</v>
      </c>
      <c r="ER119" s="124">
        <v>0.911</v>
      </c>
      <c r="ES119" s="122">
        <v>0.724</v>
      </c>
      <c r="ET119" s="122">
        <v>0.933</v>
      </c>
      <c r="EU119" s="124">
        <v>0.722</v>
      </c>
      <c r="EV119" s="124">
        <v>0.874</v>
      </c>
      <c r="EW119" s="122">
        <v>0.681</v>
      </c>
      <c r="EX119" s="122">
        <v>0.952</v>
      </c>
      <c r="EY119" s="124">
        <v>0.657</v>
      </c>
      <c r="EZ119" s="124">
        <v>0.946</v>
      </c>
      <c r="FA119" s="122">
        <v>0.626</v>
      </c>
      <c r="FB119" s="122">
        <v>0.872</v>
      </c>
      <c r="FC119" s="124">
        <v>0.705</v>
      </c>
      <c r="FD119" s="124">
        <v>0.875</v>
      </c>
      <c r="FE119" s="122">
        <v>0.435</v>
      </c>
      <c r="FF119" s="122">
        <v>0.556</v>
      </c>
      <c r="FG119" s="124">
        <v>0.385</v>
      </c>
      <c r="FH119" s="124">
        <v>0.495</v>
      </c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  <c r="IR119" s="57"/>
      <c r="IS119" s="57"/>
      <c r="IT119" s="57"/>
      <c r="IU119" s="57"/>
      <c r="IV119" s="57"/>
    </row>
    <row r="120" spans="1:256" s="58" customFormat="1" ht="12.75">
      <c r="A120" s="47" t="s">
        <v>26</v>
      </c>
      <c r="B120" s="47" t="s">
        <v>314</v>
      </c>
      <c r="C120" s="39" t="s">
        <v>14</v>
      </c>
      <c r="D120" s="39">
        <v>5094200006</v>
      </c>
      <c r="E120" s="39">
        <v>571500011</v>
      </c>
      <c r="F120" s="26" t="s">
        <v>106</v>
      </c>
      <c r="G120" s="10" t="s">
        <v>318</v>
      </c>
      <c r="H120" s="10" t="s">
        <v>66</v>
      </c>
      <c r="I120" s="10" t="s">
        <v>165</v>
      </c>
      <c r="J120" s="10" t="s">
        <v>170</v>
      </c>
      <c r="K120" s="61">
        <v>1</v>
      </c>
      <c r="L120" s="75" t="s">
        <v>21</v>
      </c>
      <c r="M120" s="62" t="s">
        <v>21</v>
      </c>
      <c r="N120" s="62"/>
      <c r="O120" s="76"/>
      <c r="P120" s="76"/>
      <c r="Q120" s="76"/>
      <c r="R120" s="76"/>
      <c r="S120" s="76"/>
      <c r="T120" s="60">
        <v>0.6</v>
      </c>
      <c r="U120" s="60">
        <v>0.3378</v>
      </c>
      <c r="V120" s="60">
        <v>0.2051</v>
      </c>
      <c r="W120" s="60">
        <v>0.641</v>
      </c>
      <c r="X120" s="62">
        <v>0.3333</v>
      </c>
      <c r="Y120" s="62">
        <v>0.5059</v>
      </c>
      <c r="Z120" s="62">
        <v>0.46</v>
      </c>
      <c r="AA120" s="62">
        <v>0.5131578947368421</v>
      </c>
      <c r="AB120" s="62">
        <v>0.4</v>
      </c>
      <c r="AC120" s="62">
        <v>0.37662337662337664</v>
      </c>
      <c r="AD120" s="62">
        <v>0.45</v>
      </c>
      <c r="AE120" s="62">
        <v>0.29577464788732394</v>
      </c>
      <c r="AF120" s="62">
        <v>0.39473684210526316</v>
      </c>
      <c r="AG120" s="62">
        <v>0.4666666666666667</v>
      </c>
      <c r="AH120" s="62">
        <v>0.34210526315789475</v>
      </c>
      <c r="AI120" s="62">
        <v>0.7105263157894737</v>
      </c>
      <c r="AJ120" s="62">
        <v>0.39285714285714285</v>
      </c>
      <c r="AK120" s="80">
        <v>0.6842105263157895</v>
      </c>
      <c r="AL120" s="62">
        <v>0.35443037974683544</v>
      </c>
      <c r="AM120" s="62">
        <v>0.5866666666666667</v>
      </c>
      <c r="AN120" s="62">
        <v>0.2857142857142857</v>
      </c>
      <c r="AO120" s="62">
        <v>0.5606060606060606</v>
      </c>
      <c r="AP120" s="81">
        <v>0.26732673267326734</v>
      </c>
      <c r="AQ120" s="81">
        <v>0.3263157894736842</v>
      </c>
      <c r="AR120" s="81">
        <v>0.24761904761904763</v>
      </c>
      <c r="AS120" s="81">
        <v>0.49056603773584906</v>
      </c>
      <c r="AT120" s="81">
        <v>0.24509803921568626</v>
      </c>
      <c r="AU120" s="81">
        <v>0.2653061224489796</v>
      </c>
      <c r="AV120" s="81">
        <v>0.21875</v>
      </c>
      <c r="AW120" s="81">
        <v>0.3232</v>
      </c>
      <c r="AX120" s="81">
        <v>0.1359</v>
      </c>
      <c r="AY120" s="81">
        <v>0.129</v>
      </c>
      <c r="AZ120" s="81">
        <v>0.1553</v>
      </c>
      <c r="BA120" s="81">
        <v>0.5</v>
      </c>
      <c r="BB120" s="81">
        <v>0</v>
      </c>
      <c r="BC120" s="60"/>
      <c r="BD120" s="60"/>
      <c r="BE120" s="60">
        <f>AVERAGE(S120:T120)</f>
        <v>0.6</v>
      </c>
      <c r="BF120" s="60">
        <f t="shared" si="28"/>
        <v>0.27144999999999997</v>
      </c>
      <c r="BG120" s="62">
        <f t="shared" si="29"/>
        <v>0.48714999999999997</v>
      </c>
      <c r="BH120" s="62">
        <f t="shared" si="30"/>
        <v>0.48295</v>
      </c>
      <c r="BI120" s="62">
        <f t="shared" si="31"/>
        <v>0.4565789473684211</v>
      </c>
      <c r="BJ120" s="62">
        <f t="shared" si="32"/>
        <v>0.4133116883116883</v>
      </c>
      <c r="BK120" s="62">
        <f t="shared" si="33"/>
        <v>0.3452557449962935</v>
      </c>
      <c r="BL120" s="62">
        <f t="shared" si="34"/>
        <v>0.40438596491228074</v>
      </c>
      <c r="BM120" s="62">
        <f t="shared" si="35"/>
        <v>0.5516917293233082</v>
      </c>
      <c r="BN120" s="62">
        <f t="shared" si="36"/>
        <v>0.5193204530313125</v>
      </c>
      <c r="BO120" s="62">
        <f t="shared" si="37"/>
        <v>0.4361904761904762</v>
      </c>
      <c r="BP120" s="62">
        <f t="shared" si="37"/>
        <v>0.4231601731601731</v>
      </c>
      <c r="BQ120" s="62">
        <f t="shared" si="37"/>
        <v>0.41396639663966395</v>
      </c>
      <c r="BR120" s="62">
        <f t="shared" si="37"/>
        <v>0.2968212610734758</v>
      </c>
      <c r="BS120" s="62">
        <f t="shared" si="37"/>
        <v>0.2869674185463659</v>
      </c>
      <c r="BT120" s="62">
        <f t="shared" si="37"/>
        <v>0.36909254267744834</v>
      </c>
      <c r="BU120" s="62">
        <f>AVERAGE(AY120:AZ120)</f>
        <v>0.14215</v>
      </c>
      <c r="BV120" s="62">
        <f>AVERAGE(BA120:BB120)</f>
        <v>0.25</v>
      </c>
      <c r="BW120" s="61">
        <v>148</v>
      </c>
      <c r="BX120" s="54">
        <v>241</v>
      </c>
      <c r="BY120" s="54">
        <v>336</v>
      </c>
      <c r="BZ120" s="54">
        <v>420</v>
      </c>
      <c r="CA120" s="54">
        <v>442</v>
      </c>
      <c r="CB120" s="54">
        <v>395</v>
      </c>
      <c r="CC120" s="54">
        <v>404</v>
      </c>
      <c r="CD120" s="44">
        <v>425</v>
      </c>
      <c r="CE120" s="54">
        <v>493</v>
      </c>
      <c r="CF120" s="54">
        <v>543</v>
      </c>
      <c r="CG120" s="54">
        <f>479+103</f>
        <v>582</v>
      </c>
      <c r="CH120" s="54">
        <f>533+105</f>
        <v>638</v>
      </c>
      <c r="CI120" s="54">
        <f>605+102</f>
        <v>707</v>
      </c>
      <c r="CJ120" s="54">
        <f>644+97</f>
        <v>741</v>
      </c>
      <c r="CK120" s="54">
        <f>677+104</f>
        <v>781</v>
      </c>
      <c r="CL120" s="54">
        <f>682+108</f>
        <v>790</v>
      </c>
      <c r="CM120" s="54">
        <f>628+116</f>
        <v>744</v>
      </c>
      <c r="CN120" s="54">
        <f>626+125</f>
        <v>751</v>
      </c>
      <c r="CO120" s="54">
        <f>636+122</f>
        <v>758</v>
      </c>
      <c r="CP120" s="54">
        <v>832</v>
      </c>
      <c r="CQ120" s="54">
        <v>698</v>
      </c>
      <c r="CR120" s="55">
        <v>0.85</v>
      </c>
      <c r="CS120" s="55">
        <v>0.75</v>
      </c>
      <c r="CT120" s="55">
        <v>0.79</v>
      </c>
      <c r="CU120" s="55">
        <v>0.69</v>
      </c>
      <c r="CV120" s="55">
        <v>0.82</v>
      </c>
      <c r="CW120" s="64">
        <v>0.82</v>
      </c>
      <c r="CX120" s="64">
        <v>0.89</v>
      </c>
      <c r="CY120" s="55">
        <v>0.84</v>
      </c>
      <c r="CZ120" s="55">
        <v>0.91</v>
      </c>
      <c r="DA120" s="55">
        <v>0.82</v>
      </c>
      <c r="DB120" s="55">
        <v>0.93</v>
      </c>
      <c r="DC120" s="55">
        <v>0.81</v>
      </c>
      <c r="DD120" s="55">
        <v>0.92</v>
      </c>
      <c r="DE120" s="55">
        <v>0.79</v>
      </c>
      <c r="DF120" s="55">
        <v>0.86</v>
      </c>
      <c r="DG120" s="55">
        <v>0.78</v>
      </c>
      <c r="DH120" s="55">
        <v>0.82</v>
      </c>
      <c r="DI120" s="55">
        <v>0.86</v>
      </c>
      <c r="DJ120" s="55">
        <v>0.84</v>
      </c>
      <c r="DK120" s="55">
        <v>0.6764705882352942</v>
      </c>
      <c r="DL120" s="55">
        <v>0.81</v>
      </c>
      <c r="DM120" s="55">
        <v>0.73</v>
      </c>
      <c r="DN120" s="55">
        <v>0.81</v>
      </c>
      <c r="DO120" s="55">
        <v>0.6504854368932039</v>
      </c>
      <c r="DP120" s="55">
        <v>0.6559139784946236</v>
      </c>
      <c r="DQ120" s="55">
        <v>0.6893203883495146</v>
      </c>
      <c r="DR120" s="55">
        <v>0.6862745098039216</v>
      </c>
      <c r="DS120" s="55">
        <v>0.54</v>
      </c>
      <c r="DT120" s="55">
        <v>0.75</v>
      </c>
      <c r="DU120" s="55">
        <v>0.72</v>
      </c>
      <c r="DV120" s="55">
        <v>0.74</v>
      </c>
      <c r="DW120" s="55">
        <v>0.8198198198198198</v>
      </c>
      <c r="DX120" s="55">
        <v>0.82</v>
      </c>
      <c r="DY120" s="122">
        <v>0.789</v>
      </c>
      <c r="DZ120" s="122">
        <v>0.984</v>
      </c>
      <c r="EA120" s="124">
        <v>0.625</v>
      </c>
      <c r="EB120" s="124">
        <v>1</v>
      </c>
      <c r="EC120" s="122">
        <v>0.829</v>
      </c>
      <c r="ED120" s="122">
        <v>0.984</v>
      </c>
      <c r="EE120" s="124">
        <v>0.658</v>
      </c>
      <c r="EF120" s="124">
        <v>0.981</v>
      </c>
      <c r="EG120" s="122">
        <v>0.813</v>
      </c>
      <c r="EH120" s="122">
        <v>0.984</v>
      </c>
      <c r="EI120" s="124">
        <v>0.667</v>
      </c>
      <c r="EJ120" s="124">
        <v>1</v>
      </c>
      <c r="EK120" s="122">
        <v>0.833</v>
      </c>
      <c r="EL120" s="122">
        <v>0.982</v>
      </c>
      <c r="EM120" s="124">
        <v>0.653</v>
      </c>
      <c r="EN120" s="124">
        <v>0.971</v>
      </c>
      <c r="EO120" s="122">
        <v>0.653</v>
      </c>
      <c r="EP120" s="122">
        <v>1</v>
      </c>
      <c r="EQ120" s="124">
        <v>0.648</v>
      </c>
      <c r="ER120" s="124">
        <v>0.971</v>
      </c>
      <c r="ES120" s="122">
        <v>0.689</v>
      </c>
      <c r="ET120" s="122">
        <v>0.948</v>
      </c>
      <c r="EU120" s="124">
        <v>0.5</v>
      </c>
      <c r="EV120" s="124">
        <v>1</v>
      </c>
      <c r="EW120" s="122">
        <v>0.695</v>
      </c>
      <c r="EX120" s="122">
        <v>0.971</v>
      </c>
      <c r="EY120" s="124">
        <v>0.396</v>
      </c>
      <c r="EZ120" s="124">
        <v>0.745</v>
      </c>
      <c r="FA120" s="122">
        <v>0.495</v>
      </c>
      <c r="FB120" s="122">
        <v>0.778</v>
      </c>
      <c r="FC120" s="124">
        <v>0.126</v>
      </c>
      <c r="FD120" s="124">
        <v>0.245</v>
      </c>
      <c r="FE120" s="122">
        <v>0.065</v>
      </c>
      <c r="FF120" s="122">
        <v>0.122</v>
      </c>
      <c r="FG120" s="124">
        <v>0</v>
      </c>
      <c r="FH120" s="124">
        <v>0</v>
      </c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  <c r="IR120" s="57"/>
      <c r="IS120" s="57"/>
      <c r="IT120" s="57"/>
      <c r="IU120" s="57"/>
      <c r="IV120" s="57"/>
    </row>
    <row r="121" spans="1:256" s="58" customFormat="1" ht="12.75">
      <c r="A121" s="47" t="s">
        <v>26</v>
      </c>
      <c r="B121" s="47" t="s">
        <v>314</v>
      </c>
      <c r="C121" s="39" t="s">
        <v>14</v>
      </c>
      <c r="D121" s="39">
        <v>5092100006</v>
      </c>
      <c r="E121" s="39">
        <v>571200006</v>
      </c>
      <c r="F121" s="26" t="s">
        <v>107</v>
      </c>
      <c r="G121" s="10" t="s">
        <v>318</v>
      </c>
      <c r="H121" s="10" t="s">
        <v>67</v>
      </c>
      <c r="I121" s="10" t="s">
        <v>165</v>
      </c>
      <c r="J121" s="10" t="s">
        <v>170</v>
      </c>
      <c r="K121" s="61"/>
      <c r="L121" s="75" t="s">
        <v>21</v>
      </c>
      <c r="M121" s="62" t="s">
        <v>21</v>
      </c>
      <c r="N121" s="62"/>
      <c r="O121" s="76"/>
      <c r="P121" s="76"/>
      <c r="Q121" s="76"/>
      <c r="R121" s="76"/>
      <c r="S121" s="76"/>
      <c r="T121" s="76"/>
      <c r="U121" s="60">
        <v>0.6364</v>
      </c>
      <c r="V121" s="60">
        <v>0.4889</v>
      </c>
      <c r="W121" s="62">
        <v>0.64</v>
      </c>
      <c r="X121" s="62">
        <v>0.3333</v>
      </c>
      <c r="Y121" s="62">
        <v>0.5283</v>
      </c>
      <c r="Z121" s="62">
        <v>0.6739130434782609</v>
      </c>
      <c r="AA121" s="62">
        <v>0.5384615384615384</v>
      </c>
      <c r="AB121" s="62">
        <v>0.3170731707317073</v>
      </c>
      <c r="AC121" s="62">
        <v>0.6956521739130435</v>
      </c>
      <c r="AD121" s="62">
        <v>0.7105263157894737</v>
      </c>
      <c r="AE121" s="62">
        <v>0.5384615384615384</v>
      </c>
      <c r="AF121" s="62">
        <v>0.4897959183673469</v>
      </c>
      <c r="AG121" s="62">
        <v>0.582089552238806</v>
      </c>
      <c r="AH121" s="62">
        <v>0.6938775510204082</v>
      </c>
      <c r="AI121" s="62">
        <v>0.5737704918032787</v>
      </c>
      <c r="AJ121" s="62">
        <v>0.7105263157894737</v>
      </c>
      <c r="AK121" s="80">
        <v>0.5126050420168067</v>
      </c>
      <c r="AL121" s="62">
        <v>0.6808510638297872</v>
      </c>
      <c r="AM121" s="62">
        <v>0.5238095238095238</v>
      </c>
      <c r="AN121" s="62">
        <v>0.5945945945945946</v>
      </c>
      <c r="AO121" s="62">
        <v>0.7692307692307693</v>
      </c>
      <c r="AP121" s="81">
        <v>0.5982905982905983</v>
      </c>
      <c r="AQ121" s="81">
        <v>0.6422018348623854</v>
      </c>
      <c r="AR121" s="96">
        <v>0.6347826086956522</v>
      </c>
      <c r="AS121" s="96">
        <v>0.5611510791366906</v>
      </c>
      <c r="AT121" s="96">
        <v>0.43790849673202614</v>
      </c>
      <c r="AU121" s="96">
        <v>0.4965034965034965</v>
      </c>
      <c r="AV121" s="96">
        <v>0.6696428571428571</v>
      </c>
      <c r="AW121" s="96">
        <v>0.6727</v>
      </c>
      <c r="AX121" s="96">
        <v>0.5798</v>
      </c>
      <c r="AY121" s="88" t="s">
        <v>211</v>
      </c>
      <c r="AZ121" s="88" t="s">
        <v>211</v>
      </c>
      <c r="BA121" s="88" t="s">
        <v>211</v>
      </c>
      <c r="BB121" s="148"/>
      <c r="BC121" s="60"/>
      <c r="BD121" s="60"/>
      <c r="BE121" s="60"/>
      <c r="BF121" s="60">
        <f t="shared" si="28"/>
        <v>0.56265</v>
      </c>
      <c r="BG121" s="62">
        <f t="shared" si="29"/>
        <v>0.48665</v>
      </c>
      <c r="BH121" s="62">
        <f t="shared" si="30"/>
        <v>0.6011065217391305</v>
      </c>
      <c r="BI121" s="62">
        <f t="shared" si="31"/>
        <v>0.42776735459662285</v>
      </c>
      <c r="BJ121" s="62">
        <f t="shared" si="32"/>
        <v>0.7030892448512586</v>
      </c>
      <c r="BK121" s="62">
        <f t="shared" si="33"/>
        <v>0.5141287284144427</v>
      </c>
      <c r="BL121" s="62">
        <f t="shared" si="34"/>
        <v>0.6379835516296071</v>
      </c>
      <c r="BM121" s="62">
        <f t="shared" si="35"/>
        <v>0.6421484037963762</v>
      </c>
      <c r="BN121" s="62">
        <f t="shared" si="36"/>
        <v>0.596728052923297</v>
      </c>
      <c r="BO121" s="62">
        <f t="shared" si="37"/>
        <v>0.5592020592020592</v>
      </c>
      <c r="BP121" s="62">
        <f t="shared" si="37"/>
        <v>0.681912681912682</v>
      </c>
      <c r="BQ121" s="62">
        <f t="shared" si="37"/>
        <v>0.6837606837606838</v>
      </c>
      <c r="BR121" s="62">
        <f t="shared" si="37"/>
        <v>0.6202462165764918</v>
      </c>
      <c r="BS121" s="62">
        <f t="shared" si="37"/>
        <v>0.6384922217790188</v>
      </c>
      <c r="BT121" s="62">
        <f t="shared" si="37"/>
        <v>0.5979668439161714</v>
      </c>
      <c r="BU121" s="62"/>
      <c r="BV121" s="62"/>
      <c r="BW121" s="61">
        <v>89</v>
      </c>
      <c r="BX121" s="54">
        <v>166</v>
      </c>
      <c r="BY121" s="54">
        <v>228</v>
      </c>
      <c r="BZ121" s="54">
        <v>305</v>
      </c>
      <c r="CA121" s="54">
        <v>341</v>
      </c>
      <c r="CB121" s="54">
        <v>365</v>
      </c>
      <c r="CC121" s="54">
        <v>394</v>
      </c>
      <c r="CD121" s="44">
        <v>467</v>
      </c>
      <c r="CE121" s="54">
        <v>511</v>
      </c>
      <c r="CF121" s="54">
        <v>475</v>
      </c>
      <c r="CG121" s="54">
        <f>424+119</f>
        <v>543</v>
      </c>
      <c r="CH121" s="54">
        <f>600+118</f>
        <v>718</v>
      </c>
      <c r="CI121" s="54">
        <f>678+153</f>
        <v>831</v>
      </c>
      <c r="CJ121" s="54">
        <f>783+134</f>
        <v>917</v>
      </c>
      <c r="CK121" s="54">
        <f>882+136</f>
        <v>1018</v>
      </c>
      <c r="CL121" s="54">
        <f>849+140</f>
        <v>989</v>
      </c>
      <c r="CM121" s="54">
        <f>881+166</f>
        <v>1047</v>
      </c>
      <c r="CN121" s="54">
        <f>973+170</f>
        <v>1143</v>
      </c>
      <c r="CO121" s="54">
        <f>1024+163</f>
        <v>1187</v>
      </c>
      <c r="CP121" s="54">
        <v>1331</v>
      </c>
      <c r="CQ121" s="54">
        <v>1220</v>
      </c>
      <c r="CR121" s="55">
        <v>0.74</v>
      </c>
      <c r="CS121" s="55">
        <v>0.77</v>
      </c>
      <c r="CT121" s="55">
        <v>0.73</v>
      </c>
      <c r="CU121" s="55">
        <v>0.89</v>
      </c>
      <c r="CV121" s="55">
        <v>0.89</v>
      </c>
      <c r="CW121" s="64">
        <v>0.65</v>
      </c>
      <c r="CX121" s="64">
        <v>0.82</v>
      </c>
      <c r="CY121" s="55">
        <v>0.9</v>
      </c>
      <c r="CZ121" s="55">
        <v>0.92</v>
      </c>
      <c r="DA121" s="55">
        <v>0.88</v>
      </c>
      <c r="DB121" s="55">
        <v>0.6</v>
      </c>
      <c r="DC121" s="55">
        <v>0.79</v>
      </c>
      <c r="DD121" s="55">
        <v>0.87</v>
      </c>
      <c r="DE121" s="55">
        <v>0.92</v>
      </c>
      <c r="DF121" s="55">
        <v>0.95</v>
      </c>
      <c r="DG121" s="55">
        <v>0.91</v>
      </c>
      <c r="DH121" s="55">
        <v>0.9</v>
      </c>
      <c r="DI121" s="55">
        <v>0.9</v>
      </c>
      <c r="DJ121" s="55">
        <v>0.91</v>
      </c>
      <c r="DK121" s="55">
        <v>0.8300653594771242</v>
      </c>
      <c r="DL121" s="55">
        <v>0.85</v>
      </c>
      <c r="DM121" s="55">
        <v>0.89</v>
      </c>
      <c r="DN121" s="55">
        <v>0.95</v>
      </c>
      <c r="DO121" s="55">
        <v>0.624113475177305</v>
      </c>
      <c r="DP121" s="55">
        <v>0.8283582089552238</v>
      </c>
      <c r="DQ121" s="55">
        <v>0.8888888888888888</v>
      </c>
      <c r="DR121" s="55">
        <v>0.8638743455497382</v>
      </c>
      <c r="DS121" s="55">
        <v>0.82</v>
      </c>
      <c r="DT121" s="55">
        <v>0.84</v>
      </c>
      <c r="DU121" s="55">
        <v>0.87</v>
      </c>
      <c r="DV121" s="55">
        <v>0.89</v>
      </c>
      <c r="DW121" s="55">
        <v>0.87248322147651</v>
      </c>
      <c r="DX121" s="55">
        <v>0.84</v>
      </c>
      <c r="DY121" s="122">
        <v>0.689</v>
      </c>
      <c r="DZ121" s="122">
        <v>1</v>
      </c>
      <c r="EA121" s="124">
        <v>0.882</v>
      </c>
      <c r="EB121" s="124">
        <v>1</v>
      </c>
      <c r="EC121" s="122">
        <v>0.672</v>
      </c>
      <c r="ED121" s="122">
        <v>1</v>
      </c>
      <c r="EE121" s="124">
        <v>0.745</v>
      </c>
      <c r="EF121" s="124">
        <v>1</v>
      </c>
      <c r="EG121" s="122">
        <v>0.651</v>
      </c>
      <c r="EH121" s="122">
        <v>1</v>
      </c>
      <c r="EI121" s="124">
        <v>0.73</v>
      </c>
      <c r="EJ121" s="124">
        <v>1</v>
      </c>
      <c r="EK121" s="122">
        <v>0.923</v>
      </c>
      <c r="EL121" s="122">
        <v>1</v>
      </c>
      <c r="EM121" s="124">
        <v>0.761</v>
      </c>
      <c r="EN121" s="124">
        <v>1</v>
      </c>
      <c r="EO121" s="122">
        <v>0.752</v>
      </c>
      <c r="EP121" s="122">
        <v>1</v>
      </c>
      <c r="EQ121" s="124">
        <v>0.809</v>
      </c>
      <c r="ER121" s="124">
        <v>1</v>
      </c>
      <c r="ES121" s="122">
        <v>0.623</v>
      </c>
      <c r="ET121" s="122">
        <v>1</v>
      </c>
      <c r="EU121" s="124">
        <v>0.597</v>
      </c>
      <c r="EV121" s="124">
        <v>1</v>
      </c>
      <c r="EW121" s="122">
        <v>0.811</v>
      </c>
      <c r="EX121" s="122">
        <v>1</v>
      </c>
      <c r="EY121" s="124">
        <v>0.813</v>
      </c>
      <c r="EZ121" s="124">
        <v>0.989</v>
      </c>
      <c r="FA121" s="122">
        <v>0.682</v>
      </c>
      <c r="FB121" s="122">
        <v>0.949</v>
      </c>
      <c r="FC121" s="124">
        <v>0.471</v>
      </c>
      <c r="FD121" s="124">
        <v>0.812</v>
      </c>
      <c r="FE121" s="122"/>
      <c r="FF121" s="122"/>
      <c r="FG121" s="124"/>
      <c r="FH121" s="124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  <c r="IU121" s="57"/>
      <c r="IV121" s="57"/>
    </row>
    <row r="122" spans="1:256" s="58" customFormat="1" ht="12.75">
      <c r="A122" s="47" t="s">
        <v>26</v>
      </c>
      <c r="B122" s="47" t="s">
        <v>314</v>
      </c>
      <c r="C122" s="69" t="s">
        <v>14</v>
      </c>
      <c r="D122" s="39">
        <v>5031500008</v>
      </c>
      <c r="E122" s="39">
        <v>531500003</v>
      </c>
      <c r="F122" s="26" t="s">
        <v>128</v>
      </c>
      <c r="G122" s="10" t="s">
        <v>318</v>
      </c>
      <c r="H122" s="10"/>
      <c r="I122" s="10" t="s">
        <v>165</v>
      </c>
      <c r="J122" s="10" t="s">
        <v>170</v>
      </c>
      <c r="K122" s="61">
        <v>1</v>
      </c>
      <c r="L122" s="75" t="s">
        <v>22</v>
      </c>
      <c r="M122" s="62" t="s">
        <v>21</v>
      </c>
      <c r="N122" s="62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7"/>
      <c r="AL122" s="76"/>
      <c r="AM122" s="76"/>
      <c r="AN122" s="62">
        <v>0.5</v>
      </c>
      <c r="AO122" s="62">
        <v>0.6666666666666666</v>
      </c>
      <c r="AP122" s="81">
        <v>0.7</v>
      </c>
      <c r="AQ122" s="81">
        <v>0.543859649122807</v>
      </c>
      <c r="AR122" s="81">
        <v>0.5818181818181818</v>
      </c>
      <c r="AS122" s="81">
        <v>0.6271186440677966</v>
      </c>
      <c r="AT122" s="81">
        <v>0.4444444444444444</v>
      </c>
      <c r="AU122" s="81">
        <v>0.5833333333333334</v>
      </c>
      <c r="AV122" s="81">
        <v>0.6181818181818182</v>
      </c>
      <c r="AW122" s="81">
        <v>0.6604</v>
      </c>
      <c r="AX122" s="81">
        <v>0.6034</v>
      </c>
      <c r="AY122" s="81">
        <v>0.5593</v>
      </c>
      <c r="AZ122" s="81">
        <v>0.3235</v>
      </c>
      <c r="BA122" s="81">
        <v>0.631578947368421</v>
      </c>
      <c r="BB122" s="81">
        <v>0.4792</v>
      </c>
      <c r="BC122" s="60"/>
      <c r="BD122" s="60"/>
      <c r="BE122" s="60"/>
      <c r="BF122" s="60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f>AVERAGE(AY122:AZ122)</f>
        <v>0.4414</v>
      </c>
      <c r="BV122" s="62">
        <f>AVERAGE(BA122:BB122)</f>
        <v>0.5553894736842105</v>
      </c>
      <c r="BW122" s="78"/>
      <c r="BX122" s="78"/>
      <c r="BY122" s="78"/>
      <c r="BZ122" s="78"/>
      <c r="CA122" s="78"/>
      <c r="CB122" s="78"/>
      <c r="CC122" s="78"/>
      <c r="CD122" s="78"/>
      <c r="CE122" s="78"/>
      <c r="CF122" s="54">
        <v>20</v>
      </c>
      <c r="CG122" s="54">
        <f>54+29</f>
        <v>83</v>
      </c>
      <c r="CH122" s="54">
        <f>137</f>
        <v>137</v>
      </c>
      <c r="CI122" s="54">
        <f>234+37</f>
        <v>271</v>
      </c>
      <c r="CJ122" s="54">
        <f>298+55</f>
        <v>353</v>
      </c>
      <c r="CK122" s="54">
        <f>346+62</f>
        <v>408</v>
      </c>
      <c r="CL122" s="54">
        <f>372+35</f>
        <v>407</v>
      </c>
      <c r="CM122" s="54">
        <f>355+48</f>
        <v>403</v>
      </c>
      <c r="CN122" s="54">
        <f>368+42</f>
        <v>410</v>
      </c>
      <c r="CO122" s="54">
        <f>342+47</f>
        <v>389</v>
      </c>
      <c r="CP122" s="54">
        <v>387</v>
      </c>
      <c r="CQ122" s="54">
        <v>344</v>
      </c>
      <c r="CR122" s="55"/>
      <c r="CS122" s="55"/>
      <c r="CT122" s="55"/>
      <c r="CU122" s="55"/>
      <c r="CV122" s="55"/>
      <c r="CW122" s="50"/>
      <c r="CX122" s="50"/>
      <c r="CY122" s="66"/>
      <c r="CZ122" s="55"/>
      <c r="DA122" s="55"/>
      <c r="DB122" s="55"/>
      <c r="DC122" s="66"/>
      <c r="DD122" s="66"/>
      <c r="DE122" s="66"/>
      <c r="DF122" s="64">
        <v>0.8</v>
      </c>
      <c r="DG122" s="64">
        <v>0.95</v>
      </c>
      <c r="DH122" s="64">
        <v>0.93</v>
      </c>
      <c r="DI122" s="64">
        <v>0.84</v>
      </c>
      <c r="DJ122" s="64">
        <v>0.9</v>
      </c>
      <c r="DK122" s="64">
        <v>0.7222222222222222</v>
      </c>
      <c r="DL122" s="64">
        <v>0.88</v>
      </c>
      <c r="DM122" s="64">
        <v>0.8</v>
      </c>
      <c r="DN122" s="64">
        <v>0.94</v>
      </c>
      <c r="DO122" s="55">
        <v>0.7586206896551724</v>
      </c>
      <c r="DP122" s="55">
        <v>0.7457627118644068</v>
      </c>
      <c r="DQ122" s="55">
        <v>0.8235294117647058</v>
      </c>
      <c r="DR122" s="55">
        <v>0.9122807017543859</v>
      </c>
      <c r="DS122" s="55">
        <v>0.77</v>
      </c>
      <c r="DT122" s="55">
        <v>0.76</v>
      </c>
      <c r="DU122" s="55">
        <v>0.85</v>
      </c>
      <c r="DV122" s="55">
        <v>0.89</v>
      </c>
      <c r="DW122" s="55">
        <v>0.9555555555555556</v>
      </c>
      <c r="DX122" s="55">
        <v>0.88</v>
      </c>
      <c r="DY122" s="122" t="s">
        <v>211</v>
      </c>
      <c r="DZ122" s="122" t="s">
        <v>211</v>
      </c>
      <c r="EA122" s="124" t="s">
        <v>211</v>
      </c>
      <c r="EB122" s="124" t="s">
        <v>211</v>
      </c>
      <c r="EC122" s="122" t="s">
        <v>211</v>
      </c>
      <c r="ED122" s="122" t="s">
        <v>211</v>
      </c>
      <c r="EE122" s="124" t="s">
        <v>211</v>
      </c>
      <c r="EF122" s="124" t="s">
        <v>211</v>
      </c>
      <c r="EG122" s="122" t="s">
        <v>211</v>
      </c>
      <c r="EH122" s="122" t="s">
        <v>211</v>
      </c>
      <c r="EI122" s="124">
        <v>0.6</v>
      </c>
      <c r="EJ122" s="124">
        <v>1</v>
      </c>
      <c r="EK122" s="122">
        <v>0.821</v>
      </c>
      <c r="EL122" s="122">
        <v>0.97</v>
      </c>
      <c r="EM122" s="124">
        <v>0.733</v>
      </c>
      <c r="EN122" s="124">
        <v>0.917</v>
      </c>
      <c r="EO122" s="122">
        <v>0.632</v>
      </c>
      <c r="EP122" s="122">
        <v>0.947</v>
      </c>
      <c r="EQ122" s="124">
        <v>0.691</v>
      </c>
      <c r="ER122" s="124">
        <v>0.927</v>
      </c>
      <c r="ES122" s="122">
        <v>0.695</v>
      </c>
      <c r="ET122" s="122">
        <v>0.891</v>
      </c>
      <c r="EU122" s="124">
        <v>0.528</v>
      </c>
      <c r="EV122" s="124">
        <v>0.905</v>
      </c>
      <c r="EW122" s="122">
        <v>0.717</v>
      </c>
      <c r="EX122" s="122">
        <v>0.878</v>
      </c>
      <c r="EY122" s="124">
        <v>0.727</v>
      </c>
      <c r="EZ122" s="124">
        <v>0.976</v>
      </c>
      <c r="FA122" s="122">
        <v>0.66</v>
      </c>
      <c r="FB122" s="122">
        <v>0.814</v>
      </c>
      <c r="FC122" s="124">
        <v>0.5</v>
      </c>
      <c r="FD122" s="124">
        <v>0.674</v>
      </c>
      <c r="FE122" s="122">
        <v>0.373</v>
      </c>
      <c r="FF122" s="122">
        <v>0.524</v>
      </c>
      <c r="FG122" s="124">
        <v>0.235</v>
      </c>
      <c r="FH122" s="124">
        <v>0.381</v>
      </c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  <c r="IR122" s="57"/>
      <c r="IS122" s="57"/>
      <c r="IT122" s="57"/>
      <c r="IU122" s="57"/>
      <c r="IV122" s="57"/>
    </row>
    <row r="123" spans="1:256" s="58" customFormat="1" ht="12.75">
      <c r="A123" s="47" t="s">
        <v>27</v>
      </c>
      <c r="B123" s="50" t="s">
        <v>314</v>
      </c>
      <c r="C123" s="39" t="s">
        <v>14</v>
      </c>
      <c r="D123" s="39">
        <v>5091100006</v>
      </c>
      <c r="E123" s="39">
        <v>571101006</v>
      </c>
      <c r="F123" s="50" t="s">
        <v>127</v>
      </c>
      <c r="G123" s="10" t="s">
        <v>318</v>
      </c>
      <c r="H123" s="10"/>
      <c r="I123" s="10"/>
      <c r="J123" s="10"/>
      <c r="K123" s="61"/>
      <c r="L123" s="75"/>
      <c r="M123" s="62"/>
      <c r="N123" s="62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7"/>
      <c r="AL123" s="76"/>
      <c r="AM123" s="76"/>
      <c r="AN123" s="62"/>
      <c r="AO123" s="62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60"/>
      <c r="BD123" s="60"/>
      <c r="BE123" s="60"/>
      <c r="BF123" s="60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78"/>
      <c r="BX123" s="78"/>
      <c r="BY123" s="78"/>
      <c r="BZ123" s="78"/>
      <c r="CA123" s="78"/>
      <c r="CB123" s="78"/>
      <c r="CC123" s="78"/>
      <c r="CD123" s="78"/>
      <c r="CE123" s="78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>
        <v>381</v>
      </c>
      <c r="CR123" s="55"/>
      <c r="CS123" s="55"/>
      <c r="CT123" s="55"/>
      <c r="CU123" s="55"/>
      <c r="CV123" s="55"/>
      <c r="CW123" s="50"/>
      <c r="CX123" s="50"/>
      <c r="CY123" s="66"/>
      <c r="CZ123" s="55"/>
      <c r="DA123" s="55"/>
      <c r="DB123" s="55"/>
      <c r="DC123" s="66"/>
      <c r="DD123" s="66"/>
      <c r="DE123" s="66"/>
      <c r="DF123" s="64"/>
      <c r="DG123" s="64"/>
      <c r="DH123" s="64"/>
      <c r="DI123" s="64"/>
      <c r="DJ123" s="64"/>
      <c r="DK123" s="64"/>
      <c r="DL123" s="64"/>
      <c r="DM123" s="64"/>
      <c r="DN123" s="64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122"/>
      <c r="DZ123" s="122"/>
      <c r="EA123" s="124"/>
      <c r="EB123" s="124"/>
      <c r="EC123" s="122"/>
      <c r="ED123" s="122"/>
      <c r="EE123" s="124"/>
      <c r="EF123" s="124"/>
      <c r="EG123" s="122"/>
      <c r="EH123" s="122"/>
      <c r="EI123" s="124"/>
      <c r="EJ123" s="124"/>
      <c r="EK123" s="122"/>
      <c r="EL123" s="122"/>
      <c r="EM123" s="124"/>
      <c r="EN123" s="124"/>
      <c r="EO123" s="122"/>
      <c r="EP123" s="122"/>
      <c r="EQ123" s="124"/>
      <c r="ER123" s="124"/>
      <c r="ES123" s="122"/>
      <c r="ET123" s="122"/>
      <c r="EU123" s="124"/>
      <c r="EV123" s="124"/>
      <c r="EW123" s="122"/>
      <c r="EX123" s="122"/>
      <c r="EY123" s="124"/>
      <c r="EZ123" s="124"/>
      <c r="FA123" s="122"/>
      <c r="FB123" s="122"/>
      <c r="FC123" s="124"/>
      <c r="FD123" s="124"/>
      <c r="FE123" s="122"/>
      <c r="FF123" s="122"/>
      <c r="FG123" s="124"/>
      <c r="FH123" s="124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7"/>
      <c r="IS123" s="57"/>
      <c r="IT123" s="57"/>
      <c r="IU123" s="57"/>
      <c r="IV123" s="57"/>
    </row>
    <row r="124" spans="1:256" s="58" customFormat="1" ht="12.75">
      <c r="A124" s="47" t="s">
        <v>26</v>
      </c>
      <c r="B124" s="47" t="s">
        <v>314</v>
      </c>
      <c r="C124" s="39" t="s">
        <v>14</v>
      </c>
      <c r="D124" s="39">
        <v>6091326001</v>
      </c>
      <c r="E124" s="39">
        <v>671122027</v>
      </c>
      <c r="F124" s="10" t="s">
        <v>375</v>
      </c>
      <c r="G124" s="10" t="s">
        <v>320</v>
      </c>
      <c r="H124" s="10"/>
      <c r="I124" s="10" t="s">
        <v>165</v>
      </c>
      <c r="J124" s="10" t="s">
        <v>170</v>
      </c>
      <c r="K124" s="61"/>
      <c r="L124" s="9"/>
      <c r="M124" s="62"/>
      <c r="N124" s="61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50"/>
      <c r="AI124" s="50"/>
      <c r="AJ124" s="50"/>
      <c r="AK124" s="43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44"/>
      <c r="CE124" s="54"/>
      <c r="CF124" s="139">
        <v>0</v>
      </c>
      <c r="CG124" s="139">
        <v>44</v>
      </c>
      <c r="CH124" s="139">
        <v>43</v>
      </c>
      <c r="CI124" s="139">
        <v>64</v>
      </c>
      <c r="CJ124" s="139">
        <v>56</v>
      </c>
      <c r="CK124" s="54"/>
      <c r="CL124" s="54">
        <v>31</v>
      </c>
      <c r="CM124" s="54">
        <f>13+0</f>
        <v>13</v>
      </c>
      <c r="CN124" s="54">
        <v>0</v>
      </c>
      <c r="CO124" s="54"/>
      <c r="CP124" s="54"/>
      <c r="CQ124" s="54"/>
      <c r="CR124" s="55"/>
      <c r="CS124" s="55"/>
      <c r="CT124" s="55"/>
      <c r="CU124" s="55"/>
      <c r="CV124" s="55"/>
      <c r="CW124" s="64"/>
      <c r="CX124" s="64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47"/>
      <c r="EL124" s="47"/>
      <c r="EM124" s="120"/>
      <c r="EN124" s="12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</row>
    <row r="125" spans="1:256" s="58" customFormat="1" ht="12.75">
      <c r="A125" s="47" t="s">
        <v>26</v>
      </c>
      <c r="B125" s="47" t="s">
        <v>314</v>
      </c>
      <c r="C125" s="39" t="s">
        <v>14</v>
      </c>
      <c r="D125" s="39">
        <v>6091301004</v>
      </c>
      <c r="E125" s="39">
        <v>671103012</v>
      </c>
      <c r="F125" s="10" t="s">
        <v>376</v>
      </c>
      <c r="G125" s="10" t="s">
        <v>320</v>
      </c>
      <c r="H125" s="10"/>
      <c r="I125" s="10" t="s">
        <v>165</v>
      </c>
      <c r="J125" s="10" t="s">
        <v>170</v>
      </c>
      <c r="K125" s="61"/>
      <c r="L125" s="9"/>
      <c r="M125" s="62"/>
      <c r="N125" s="61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50"/>
      <c r="AI125" s="50"/>
      <c r="AJ125" s="50"/>
      <c r="AK125" s="43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44"/>
      <c r="CE125" s="54"/>
      <c r="CF125" s="139">
        <v>0</v>
      </c>
      <c r="CG125" s="139">
        <v>10</v>
      </c>
      <c r="CH125" s="139">
        <v>9</v>
      </c>
      <c r="CI125" s="139">
        <v>12</v>
      </c>
      <c r="CJ125" s="139">
        <v>13</v>
      </c>
      <c r="CK125" s="54"/>
      <c r="CL125" s="54">
        <f>14+4</f>
        <v>18</v>
      </c>
      <c r="CM125" s="54">
        <f>12+0</f>
        <v>12</v>
      </c>
      <c r="CN125" s="54">
        <f>11+1</f>
        <v>12</v>
      </c>
      <c r="CO125" s="54">
        <v>7</v>
      </c>
      <c r="CP125" s="54">
        <v>15</v>
      </c>
      <c r="CQ125" s="54"/>
      <c r="CR125" s="55"/>
      <c r="CS125" s="55"/>
      <c r="CT125" s="55"/>
      <c r="CU125" s="55"/>
      <c r="CV125" s="55"/>
      <c r="CW125" s="64"/>
      <c r="CX125" s="64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47"/>
      <c r="EL125" s="47"/>
      <c r="EM125" s="120"/>
      <c r="EN125" s="12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  <c r="IT125" s="57"/>
      <c r="IU125" s="57"/>
      <c r="IV125" s="57"/>
    </row>
    <row r="126" spans="1:256" s="58" customFormat="1" ht="12.75">
      <c r="A126" s="47" t="s">
        <v>26</v>
      </c>
      <c r="B126" s="47" t="s">
        <v>314</v>
      </c>
      <c r="C126" s="39" t="s">
        <v>14</v>
      </c>
      <c r="D126" s="39">
        <v>6091305002</v>
      </c>
      <c r="E126" s="39">
        <v>671107039</v>
      </c>
      <c r="F126" s="10" t="s">
        <v>377</v>
      </c>
      <c r="G126" s="10" t="s">
        <v>320</v>
      </c>
      <c r="H126" s="10"/>
      <c r="I126" s="10" t="s">
        <v>165</v>
      </c>
      <c r="J126" s="10" t="s">
        <v>170</v>
      </c>
      <c r="K126" s="61"/>
      <c r="L126" s="9"/>
      <c r="M126" s="62"/>
      <c r="N126" s="61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50"/>
      <c r="AI126" s="50"/>
      <c r="AJ126" s="50"/>
      <c r="AK126" s="43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44"/>
      <c r="CE126" s="54"/>
      <c r="CF126" s="139">
        <v>0</v>
      </c>
      <c r="CG126" s="139">
        <v>6</v>
      </c>
      <c r="CH126" s="139">
        <v>6</v>
      </c>
      <c r="CI126" s="139">
        <v>13</v>
      </c>
      <c r="CJ126" s="139">
        <v>13</v>
      </c>
      <c r="CK126" s="54"/>
      <c r="CL126" s="54">
        <f>13+4</f>
        <v>17</v>
      </c>
      <c r="CM126" s="54">
        <f>12+0</f>
        <v>12</v>
      </c>
      <c r="CN126" s="54">
        <f>12+1</f>
        <v>13</v>
      </c>
      <c r="CO126" s="54">
        <v>4</v>
      </c>
      <c r="CP126" s="54">
        <v>21</v>
      </c>
      <c r="CQ126" s="54"/>
      <c r="CR126" s="55"/>
      <c r="CS126" s="55"/>
      <c r="CT126" s="55"/>
      <c r="CU126" s="55"/>
      <c r="CV126" s="55"/>
      <c r="CW126" s="64"/>
      <c r="CX126" s="64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47"/>
      <c r="EL126" s="47"/>
      <c r="EM126" s="120"/>
      <c r="EN126" s="12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  <c r="IU126" s="57"/>
      <c r="IV126" s="57"/>
    </row>
    <row r="127" spans="1:256" s="58" customFormat="1" ht="12.75">
      <c r="A127" s="47" t="s">
        <v>26</v>
      </c>
      <c r="B127" s="47" t="s">
        <v>314</v>
      </c>
      <c r="C127" s="39" t="s">
        <v>14</v>
      </c>
      <c r="D127" s="39">
        <v>6091100001</v>
      </c>
      <c r="E127" s="39">
        <v>671115023</v>
      </c>
      <c r="F127" s="10" t="s">
        <v>378</v>
      </c>
      <c r="G127" s="10" t="s">
        <v>320</v>
      </c>
      <c r="H127" s="10"/>
      <c r="I127" s="10" t="s">
        <v>165</v>
      </c>
      <c r="J127" s="10" t="s">
        <v>170</v>
      </c>
      <c r="K127" s="61"/>
      <c r="L127" s="9"/>
      <c r="M127" s="62"/>
      <c r="N127" s="61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50"/>
      <c r="AI127" s="50"/>
      <c r="AJ127" s="50"/>
      <c r="AK127" s="43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44"/>
      <c r="CE127" s="54"/>
      <c r="CF127" s="139">
        <v>0</v>
      </c>
      <c r="CG127" s="139">
        <v>11</v>
      </c>
      <c r="CH127" s="139">
        <v>11</v>
      </c>
      <c r="CI127" s="139">
        <v>15</v>
      </c>
      <c r="CJ127" s="139">
        <v>14</v>
      </c>
      <c r="CK127" s="54"/>
      <c r="CL127" s="54">
        <f>20+7</f>
        <v>27</v>
      </c>
      <c r="CM127" s="54">
        <f>23+0</f>
        <v>23</v>
      </c>
      <c r="CN127" s="54">
        <f>22+0</f>
        <v>22</v>
      </c>
      <c r="CO127" s="54">
        <v>13</v>
      </c>
      <c r="CP127" s="54">
        <v>30</v>
      </c>
      <c r="CQ127" s="54"/>
      <c r="CR127" s="55"/>
      <c r="CS127" s="55"/>
      <c r="CT127" s="55"/>
      <c r="CU127" s="55"/>
      <c r="CV127" s="55"/>
      <c r="CW127" s="64"/>
      <c r="CX127" s="64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47"/>
      <c r="EL127" s="47"/>
      <c r="EM127" s="120"/>
      <c r="EN127" s="12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  <c r="IT127" s="57"/>
      <c r="IU127" s="57"/>
      <c r="IV127" s="57"/>
    </row>
    <row r="128" spans="1:256" s="58" customFormat="1" ht="12.75">
      <c r="A128" s="47" t="s">
        <v>26</v>
      </c>
      <c r="B128" s="47" t="s">
        <v>314</v>
      </c>
      <c r="C128" s="39" t="s">
        <v>14</v>
      </c>
      <c r="D128" s="39">
        <v>6091327002</v>
      </c>
      <c r="E128" s="39">
        <v>671119008</v>
      </c>
      <c r="F128" s="10" t="s">
        <v>379</v>
      </c>
      <c r="G128" s="10" t="s">
        <v>320</v>
      </c>
      <c r="H128" s="10"/>
      <c r="I128" s="10" t="s">
        <v>165</v>
      </c>
      <c r="J128" s="10" t="s">
        <v>170</v>
      </c>
      <c r="K128" s="61"/>
      <c r="L128" s="9"/>
      <c r="M128" s="62"/>
      <c r="N128" s="61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50"/>
      <c r="AI128" s="50"/>
      <c r="AJ128" s="50"/>
      <c r="AK128" s="43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44"/>
      <c r="CE128" s="54"/>
      <c r="CF128" s="139">
        <v>0</v>
      </c>
      <c r="CG128" s="139">
        <v>9</v>
      </c>
      <c r="CH128" s="139">
        <v>9</v>
      </c>
      <c r="CI128" s="139">
        <v>15</v>
      </c>
      <c r="CJ128" s="139">
        <v>13</v>
      </c>
      <c r="CK128" s="54"/>
      <c r="CL128" s="54">
        <f>13+4</f>
        <v>17</v>
      </c>
      <c r="CM128" s="54">
        <f>12+0</f>
        <v>12</v>
      </c>
      <c r="CN128" s="54">
        <f>14+3</f>
        <v>17</v>
      </c>
      <c r="CO128" s="54">
        <v>12</v>
      </c>
      <c r="CP128" s="54">
        <v>21</v>
      </c>
      <c r="CQ128" s="54"/>
      <c r="CR128" s="55"/>
      <c r="CS128" s="55"/>
      <c r="CT128" s="55"/>
      <c r="CU128" s="55"/>
      <c r="CV128" s="55"/>
      <c r="CW128" s="64"/>
      <c r="CX128" s="64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47"/>
      <c r="EL128" s="47"/>
      <c r="EM128" s="120"/>
      <c r="EN128" s="12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  <c r="IV128" s="57"/>
    </row>
    <row r="129" spans="1:256" s="58" customFormat="1" ht="12.75">
      <c r="A129" s="47" t="s">
        <v>26</v>
      </c>
      <c r="B129" s="47" t="s">
        <v>314</v>
      </c>
      <c r="C129" s="39" t="s">
        <v>14</v>
      </c>
      <c r="D129" s="39">
        <v>6091340002</v>
      </c>
      <c r="E129" s="39">
        <v>671125037</v>
      </c>
      <c r="F129" s="10" t="s">
        <v>380</v>
      </c>
      <c r="G129" s="10" t="s">
        <v>320</v>
      </c>
      <c r="H129" s="10"/>
      <c r="I129" s="10" t="s">
        <v>165</v>
      </c>
      <c r="J129" s="10" t="s">
        <v>170</v>
      </c>
      <c r="K129" s="61"/>
      <c r="L129" s="9"/>
      <c r="M129" s="62"/>
      <c r="N129" s="61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50"/>
      <c r="AI129" s="50"/>
      <c r="AJ129" s="50"/>
      <c r="AK129" s="43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44"/>
      <c r="CE129" s="54"/>
      <c r="CF129" s="139">
        <v>0</v>
      </c>
      <c r="CG129" s="139">
        <v>14</v>
      </c>
      <c r="CH129" s="139">
        <v>17</v>
      </c>
      <c r="CI129" s="139">
        <v>46</v>
      </c>
      <c r="CJ129" s="139">
        <v>44</v>
      </c>
      <c r="CK129" s="54"/>
      <c r="CL129" s="54">
        <f>45+13</f>
        <v>58</v>
      </c>
      <c r="CM129" s="54">
        <f>38+0</f>
        <v>38</v>
      </c>
      <c r="CN129" s="54">
        <f>41+4</f>
        <v>45</v>
      </c>
      <c r="CO129" s="54">
        <f>15+1</f>
        <v>16</v>
      </c>
      <c r="CP129" s="54">
        <v>55</v>
      </c>
      <c r="CQ129" s="54"/>
      <c r="CR129" s="55"/>
      <c r="CS129" s="55"/>
      <c r="CT129" s="55"/>
      <c r="CU129" s="55"/>
      <c r="CV129" s="55"/>
      <c r="CW129" s="64"/>
      <c r="CX129" s="64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47"/>
      <c r="EL129" s="47"/>
      <c r="EM129" s="120"/>
      <c r="EN129" s="12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  <c r="IT129" s="57"/>
      <c r="IU129" s="57"/>
      <c r="IV129" s="57"/>
    </row>
    <row r="130" spans="1:256" s="58" customFormat="1" ht="12.75">
      <c r="A130" s="47" t="s">
        <v>26</v>
      </c>
      <c r="B130" s="47" t="s">
        <v>314</v>
      </c>
      <c r="C130" s="39" t="s">
        <v>14</v>
      </c>
      <c r="D130" s="39">
        <v>6091337004</v>
      </c>
      <c r="E130" s="39">
        <v>671136058</v>
      </c>
      <c r="F130" s="10" t="s">
        <v>381</v>
      </c>
      <c r="G130" s="10" t="s">
        <v>320</v>
      </c>
      <c r="H130" s="10"/>
      <c r="I130" s="10" t="s">
        <v>165</v>
      </c>
      <c r="J130" s="10" t="s">
        <v>170</v>
      </c>
      <c r="K130" s="61"/>
      <c r="L130" s="9"/>
      <c r="M130" s="62"/>
      <c r="N130" s="6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50"/>
      <c r="AI130" s="50"/>
      <c r="AJ130" s="50"/>
      <c r="AK130" s="43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44"/>
      <c r="CE130" s="54"/>
      <c r="CF130" s="54">
        <v>0</v>
      </c>
      <c r="CG130" s="54">
        <v>4</v>
      </c>
      <c r="CH130" s="54">
        <v>9</v>
      </c>
      <c r="CI130" s="54">
        <v>13</v>
      </c>
      <c r="CJ130" s="54">
        <v>10</v>
      </c>
      <c r="CK130" s="54"/>
      <c r="CL130" s="54">
        <f>11+6</f>
        <v>17</v>
      </c>
      <c r="CM130" s="54">
        <f>15+0</f>
        <v>15</v>
      </c>
      <c r="CN130" s="54">
        <f>14+1</f>
        <v>15</v>
      </c>
      <c r="CO130" s="54">
        <v>7</v>
      </c>
      <c r="CP130" s="54">
        <v>20</v>
      </c>
      <c r="CQ130" s="54"/>
      <c r="CR130" s="55"/>
      <c r="CS130" s="55"/>
      <c r="CT130" s="55"/>
      <c r="CU130" s="55"/>
      <c r="CV130" s="55"/>
      <c r="CW130" s="64"/>
      <c r="CX130" s="64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47"/>
      <c r="EL130" s="47"/>
      <c r="EM130" s="120"/>
      <c r="EN130" s="12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  <c r="IS130" s="57"/>
      <c r="IT130" s="57"/>
      <c r="IU130" s="57"/>
      <c r="IV130" s="57"/>
    </row>
    <row r="131" spans="1:256" s="58" customFormat="1" ht="12.75">
      <c r="A131" s="47" t="s">
        <v>26</v>
      </c>
      <c r="B131" s="47" t="s">
        <v>314</v>
      </c>
      <c r="C131" s="39" t="s">
        <v>14</v>
      </c>
      <c r="D131" s="39">
        <v>6091340004</v>
      </c>
      <c r="E131" s="39">
        <v>671125041</v>
      </c>
      <c r="F131" s="10" t="s">
        <v>382</v>
      </c>
      <c r="G131" s="10" t="s">
        <v>320</v>
      </c>
      <c r="H131" s="10"/>
      <c r="I131" s="10" t="s">
        <v>165</v>
      </c>
      <c r="J131" s="10" t="s">
        <v>170</v>
      </c>
      <c r="K131" s="61"/>
      <c r="L131" s="9"/>
      <c r="M131" s="62"/>
      <c r="N131" s="6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50"/>
      <c r="AI131" s="50"/>
      <c r="AJ131" s="50"/>
      <c r="AK131" s="43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44"/>
      <c r="CE131" s="54"/>
      <c r="CF131" s="54">
        <v>0</v>
      </c>
      <c r="CG131" s="54">
        <v>0</v>
      </c>
      <c r="CH131" s="54">
        <v>1</v>
      </c>
      <c r="CI131" s="54">
        <v>3</v>
      </c>
      <c r="CJ131" s="54">
        <f>1</f>
        <v>1</v>
      </c>
      <c r="CK131" s="54">
        <v>1</v>
      </c>
      <c r="CL131" s="54">
        <v>5</v>
      </c>
      <c r="CM131" s="54">
        <f>3+2</f>
        <v>5</v>
      </c>
      <c r="CN131" s="54">
        <f>4+0</f>
        <v>4</v>
      </c>
      <c r="CO131" s="54">
        <f>2+1</f>
        <v>3</v>
      </c>
      <c r="CP131" s="54">
        <v>6</v>
      </c>
      <c r="CQ131" s="54"/>
      <c r="CR131" s="55"/>
      <c r="CS131" s="55"/>
      <c r="CT131" s="55"/>
      <c r="CU131" s="55"/>
      <c r="CV131" s="55"/>
      <c r="CW131" s="64"/>
      <c r="CX131" s="64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47"/>
      <c r="EL131" s="47"/>
      <c r="EM131" s="120"/>
      <c r="EN131" s="12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  <c r="IS131" s="57"/>
      <c r="IT131" s="57"/>
      <c r="IU131" s="57"/>
      <c r="IV131" s="57"/>
    </row>
    <row r="132" spans="1:256" s="58" customFormat="1" ht="12.75">
      <c r="A132" s="47" t="s">
        <v>26</v>
      </c>
      <c r="B132" s="47" t="s">
        <v>314</v>
      </c>
      <c r="C132" s="39" t="s">
        <v>14</v>
      </c>
      <c r="D132" s="39">
        <v>6091318002</v>
      </c>
      <c r="E132" s="39">
        <v>671118047</v>
      </c>
      <c r="F132" s="10" t="s">
        <v>383</v>
      </c>
      <c r="G132" s="10" t="s">
        <v>320</v>
      </c>
      <c r="H132" s="10"/>
      <c r="I132" s="10" t="s">
        <v>165</v>
      </c>
      <c r="J132" s="10" t="s">
        <v>170</v>
      </c>
      <c r="K132" s="61"/>
      <c r="L132" s="9"/>
      <c r="M132" s="62"/>
      <c r="N132" s="6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50"/>
      <c r="AI132" s="50"/>
      <c r="AJ132" s="50"/>
      <c r="AK132" s="43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44"/>
      <c r="CE132" s="54"/>
      <c r="CF132" s="54">
        <v>0</v>
      </c>
      <c r="CG132" s="54">
        <v>1</v>
      </c>
      <c r="CH132" s="54"/>
      <c r="CI132" s="54"/>
      <c r="CJ132" s="54"/>
      <c r="CK132" s="54"/>
      <c r="CL132" s="54">
        <v>2</v>
      </c>
      <c r="CM132" s="54">
        <f>0+0</f>
        <v>0</v>
      </c>
      <c r="CN132" s="54">
        <v>0</v>
      </c>
      <c r="CO132" s="54">
        <v>1</v>
      </c>
      <c r="CP132" s="54">
        <v>2</v>
      </c>
      <c r="CQ132" s="54"/>
      <c r="CR132" s="55"/>
      <c r="CS132" s="55"/>
      <c r="CT132" s="55"/>
      <c r="CU132" s="55"/>
      <c r="CV132" s="55"/>
      <c r="CW132" s="64"/>
      <c r="CX132" s="64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47"/>
      <c r="EL132" s="47"/>
      <c r="EM132" s="120"/>
      <c r="EN132" s="12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57"/>
      <c r="IL132" s="57"/>
      <c r="IM132" s="57"/>
      <c r="IN132" s="57"/>
      <c r="IO132" s="57"/>
      <c r="IP132" s="57"/>
      <c r="IQ132" s="57"/>
      <c r="IR132" s="57"/>
      <c r="IS132" s="57"/>
      <c r="IT132" s="57"/>
      <c r="IU132" s="57"/>
      <c r="IV132" s="57"/>
    </row>
    <row r="133" spans="1:256" s="58" customFormat="1" ht="12.75">
      <c r="A133" s="47" t="s">
        <v>26</v>
      </c>
      <c r="B133" s="47" t="s">
        <v>314</v>
      </c>
      <c r="C133" s="39" t="s">
        <v>14</v>
      </c>
      <c r="D133" s="39">
        <v>6092206010</v>
      </c>
      <c r="E133" s="39">
        <v>671200067</v>
      </c>
      <c r="F133" s="10" t="s">
        <v>384</v>
      </c>
      <c r="G133" s="10" t="s">
        <v>320</v>
      </c>
      <c r="H133" s="10"/>
      <c r="I133" s="10"/>
      <c r="J133" s="10"/>
      <c r="K133" s="61"/>
      <c r="L133" s="9"/>
      <c r="M133" s="62"/>
      <c r="N133" s="6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50"/>
      <c r="AI133" s="50"/>
      <c r="AJ133" s="50"/>
      <c r="AK133" s="43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44"/>
      <c r="CE133" s="54"/>
      <c r="CF133" s="54"/>
      <c r="CG133" s="54"/>
      <c r="CH133" s="54"/>
      <c r="CI133" s="54"/>
      <c r="CJ133" s="54"/>
      <c r="CK133" s="54"/>
      <c r="CL133" s="54">
        <v>19</v>
      </c>
      <c r="CM133" s="54">
        <f>28+0</f>
        <v>28</v>
      </c>
      <c r="CN133" s="54">
        <f>17+0</f>
        <v>17</v>
      </c>
      <c r="CO133" s="54">
        <v>15</v>
      </c>
      <c r="CP133" s="54">
        <v>8</v>
      </c>
      <c r="CQ133" s="54">
        <v>8</v>
      </c>
      <c r="CR133" s="55"/>
      <c r="CS133" s="55"/>
      <c r="CT133" s="55"/>
      <c r="CU133" s="55"/>
      <c r="CV133" s="55"/>
      <c r="CW133" s="64"/>
      <c r="CX133" s="64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47"/>
      <c r="EL133" s="47"/>
      <c r="EM133" s="120"/>
      <c r="EN133" s="12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  <c r="HQ133" s="57"/>
      <c r="HR133" s="57"/>
      <c r="HS133" s="57"/>
      <c r="HT133" s="57"/>
      <c r="HU133" s="57"/>
      <c r="HV133" s="57"/>
      <c r="HW133" s="57"/>
      <c r="HX133" s="57"/>
      <c r="HY133" s="57"/>
      <c r="HZ133" s="57"/>
      <c r="IA133" s="57"/>
      <c r="IB133" s="57"/>
      <c r="IC133" s="57"/>
      <c r="ID133" s="57"/>
      <c r="IE133" s="57"/>
      <c r="IF133" s="57"/>
      <c r="IG133" s="57"/>
      <c r="IH133" s="57"/>
      <c r="II133" s="57"/>
      <c r="IJ133" s="57"/>
      <c r="IK133" s="57"/>
      <c r="IL133" s="57"/>
      <c r="IM133" s="57"/>
      <c r="IN133" s="57"/>
      <c r="IO133" s="57"/>
      <c r="IP133" s="57"/>
      <c r="IQ133" s="57"/>
      <c r="IR133" s="57"/>
      <c r="IS133" s="57"/>
      <c r="IT133" s="57"/>
      <c r="IU133" s="57"/>
      <c r="IV133" s="57"/>
    </row>
    <row r="134" spans="1:256" s="58" customFormat="1" ht="12.75">
      <c r="A134" s="47" t="s">
        <v>26</v>
      </c>
      <c r="B134" s="47" t="s">
        <v>314</v>
      </c>
      <c r="C134" s="39" t="s">
        <v>14</v>
      </c>
      <c r="D134" s="39">
        <v>6092206002</v>
      </c>
      <c r="E134" s="39">
        <v>671200030</v>
      </c>
      <c r="F134" s="10" t="s">
        <v>385</v>
      </c>
      <c r="G134" s="10" t="s">
        <v>320</v>
      </c>
      <c r="H134" s="10"/>
      <c r="I134" s="10"/>
      <c r="J134" s="10"/>
      <c r="K134" s="61"/>
      <c r="L134" s="9"/>
      <c r="M134" s="62"/>
      <c r="N134" s="6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50"/>
      <c r="AI134" s="50"/>
      <c r="AJ134" s="50"/>
      <c r="AK134" s="43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44"/>
      <c r="CE134" s="54"/>
      <c r="CF134" s="54"/>
      <c r="CG134" s="54"/>
      <c r="CH134" s="54"/>
      <c r="CI134" s="54"/>
      <c r="CJ134" s="54"/>
      <c r="CK134" s="54"/>
      <c r="CL134" s="54">
        <v>11</v>
      </c>
      <c r="CM134" s="54">
        <f>16+0</f>
        <v>16</v>
      </c>
      <c r="CN134" s="54">
        <f>12+0</f>
        <v>12</v>
      </c>
      <c r="CO134" s="54">
        <v>17</v>
      </c>
      <c r="CP134" s="54">
        <v>4</v>
      </c>
      <c r="CQ134" s="54">
        <v>4</v>
      </c>
      <c r="CR134" s="55"/>
      <c r="CS134" s="55"/>
      <c r="CT134" s="55"/>
      <c r="CU134" s="55"/>
      <c r="CV134" s="55"/>
      <c r="CW134" s="64"/>
      <c r="CX134" s="64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47"/>
      <c r="EL134" s="47"/>
      <c r="EM134" s="120"/>
      <c r="EN134" s="12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  <c r="IT134" s="57"/>
      <c r="IU134" s="57"/>
      <c r="IV134" s="57"/>
    </row>
    <row r="135" spans="1:256" s="58" customFormat="1" ht="12.75">
      <c r="A135" s="47" t="s">
        <v>26</v>
      </c>
      <c r="B135" s="47" t="s">
        <v>314</v>
      </c>
      <c r="C135" s="39" t="s">
        <v>14</v>
      </c>
      <c r="D135" s="39" t="s">
        <v>211</v>
      </c>
      <c r="E135" s="39"/>
      <c r="F135" s="26" t="s">
        <v>235</v>
      </c>
      <c r="G135" s="10" t="s">
        <v>320</v>
      </c>
      <c r="H135" s="10"/>
      <c r="I135" s="10" t="s">
        <v>165</v>
      </c>
      <c r="J135" s="10" t="s">
        <v>170</v>
      </c>
      <c r="K135" s="61"/>
      <c r="L135" s="9"/>
      <c r="M135" s="62"/>
      <c r="N135" s="6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50"/>
      <c r="AI135" s="50"/>
      <c r="AJ135" s="50"/>
      <c r="AK135" s="43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44"/>
      <c r="CE135" s="54"/>
      <c r="CF135" s="54">
        <v>55</v>
      </c>
      <c r="CG135" s="54"/>
      <c r="CH135" s="54">
        <v>56</v>
      </c>
      <c r="CI135" s="54"/>
      <c r="CJ135" s="54"/>
      <c r="CK135" s="54"/>
      <c r="CL135" s="54"/>
      <c r="CM135" s="54">
        <f>0+0</f>
        <v>0</v>
      </c>
      <c r="CN135" s="54">
        <f>0+1</f>
        <v>1</v>
      </c>
      <c r="CO135" s="54"/>
      <c r="CP135" s="54"/>
      <c r="CQ135" s="54"/>
      <c r="CR135" s="55"/>
      <c r="CS135" s="55"/>
      <c r="CT135" s="55"/>
      <c r="CU135" s="55"/>
      <c r="CV135" s="55"/>
      <c r="CW135" s="64"/>
      <c r="CX135" s="64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47"/>
      <c r="EL135" s="47"/>
      <c r="EM135" s="120"/>
      <c r="EN135" s="12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  <c r="IS135" s="57"/>
      <c r="IT135" s="57"/>
      <c r="IU135" s="57"/>
      <c r="IV135" s="57"/>
    </row>
    <row r="136" spans="1:256" s="58" customFormat="1" ht="12.75">
      <c r="A136" s="47" t="s">
        <v>26</v>
      </c>
      <c r="B136" s="47" t="s">
        <v>314</v>
      </c>
      <c r="C136" s="39" t="s">
        <v>14</v>
      </c>
      <c r="D136" s="39">
        <v>6091100001</v>
      </c>
      <c r="E136" s="39">
        <v>671101007</v>
      </c>
      <c r="F136" s="26" t="s">
        <v>133</v>
      </c>
      <c r="G136" s="10" t="s">
        <v>320</v>
      </c>
      <c r="H136" s="10"/>
      <c r="I136" s="10" t="s">
        <v>165</v>
      </c>
      <c r="J136" s="10" t="s">
        <v>170</v>
      </c>
      <c r="K136" s="61"/>
      <c r="L136" s="9"/>
      <c r="M136" s="62"/>
      <c r="N136" s="6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50"/>
      <c r="AI136" s="50"/>
      <c r="AJ136" s="50"/>
      <c r="AK136" s="43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44"/>
      <c r="CE136" s="54"/>
      <c r="CF136" s="54">
        <v>22</v>
      </c>
      <c r="CG136" s="54">
        <v>22</v>
      </c>
      <c r="CH136" s="54">
        <v>13</v>
      </c>
      <c r="CI136" s="54">
        <v>16</v>
      </c>
      <c r="CJ136" s="54">
        <v>16</v>
      </c>
      <c r="CK136" s="54"/>
      <c r="CL136" s="54">
        <f>14+6</f>
        <v>20</v>
      </c>
      <c r="CM136" s="54">
        <f>13+0</f>
        <v>13</v>
      </c>
      <c r="CN136" s="54">
        <f>3+0</f>
        <v>3</v>
      </c>
      <c r="CO136" s="54"/>
      <c r="CP136" s="54"/>
      <c r="CQ136" s="54"/>
      <c r="CR136" s="55"/>
      <c r="CS136" s="55"/>
      <c r="CT136" s="55"/>
      <c r="CU136" s="55"/>
      <c r="CV136" s="55"/>
      <c r="CW136" s="64"/>
      <c r="CX136" s="64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47"/>
      <c r="EL136" s="47"/>
      <c r="EM136" s="120"/>
      <c r="EN136" s="12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7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  <c r="HW136" s="57"/>
      <c r="HX136" s="57"/>
      <c r="HY136" s="57"/>
      <c r="HZ136" s="57"/>
      <c r="IA136" s="57"/>
      <c r="IB136" s="57"/>
      <c r="IC136" s="57"/>
      <c r="ID136" s="57"/>
      <c r="IE136" s="57"/>
      <c r="IF136" s="57"/>
      <c r="IG136" s="57"/>
      <c r="IH136" s="57"/>
      <c r="II136" s="57"/>
      <c r="IJ136" s="57"/>
      <c r="IK136" s="57"/>
      <c r="IL136" s="57"/>
      <c r="IM136" s="57"/>
      <c r="IN136" s="57"/>
      <c r="IO136" s="57"/>
      <c r="IP136" s="57"/>
      <c r="IQ136" s="57"/>
      <c r="IR136" s="57"/>
      <c r="IS136" s="57"/>
      <c r="IT136" s="57"/>
      <c r="IU136" s="57"/>
      <c r="IV136" s="57"/>
    </row>
    <row r="137" spans="1:256" s="58" customFormat="1" ht="12.75">
      <c r="A137" s="47" t="s">
        <v>26</v>
      </c>
      <c r="B137" s="47" t="s">
        <v>314</v>
      </c>
      <c r="C137" s="39" t="s">
        <v>14</v>
      </c>
      <c r="D137" s="39">
        <v>6093203005</v>
      </c>
      <c r="E137" s="39">
        <v>671300023</v>
      </c>
      <c r="F137" s="26" t="s">
        <v>159</v>
      </c>
      <c r="G137" s="10" t="s">
        <v>320</v>
      </c>
      <c r="H137" s="10"/>
      <c r="I137" s="10" t="s">
        <v>165</v>
      </c>
      <c r="J137" s="10" t="s">
        <v>170</v>
      </c>
      <c r="K137" s="61"/>
      <c r="L137" s="9"/>
      <c r="M137" s="62"/>
      <c r="N137" s="6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42"/>
      <c r="AH137" s="50"/>
      <c r="AI137" s="50"/>
      <c r="AJ137" s="50"/>
      <c r="AK137" s="43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44"/>
      <c r="CE137" s="54"/>
      <c r="CF137" s="54"/>
      <c r="CG137" s="54"/>
      <c r="CH137" s="54"/>
      <c r="CI137" s="54">
        <v>5</v>
      </c>
      <c r="CJ137" s="54"/>
      <c r="CK137" s="54"/>
      <c r="CL137" s="54"/>
      <c r="CM137" s="54">
        <f>0+0</f>
        <v>0</v>
      </c>
      <c r="CN137" s="54">
        <v>0</v>
      </c>
      <c r="CO137" s="54"/>
      <c r="CP137" s="54"/>
      <c r="CQ137" s="54"/>
      <c r="CR137" s="55"/>
      <c r="CS137" s="10"/>
      <c r="CT137" s="50"/>
      <c r="CU137" s="55"/>
      <c r="CV137" s="55"/>
      <c r="CW137" s="64"/>
      <c r="CX137" s="64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47"/>
      <c r="EL137" s="47"/>
      <c r="EM137" s="120"/>
      <c r="EN137" s="12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57"/>
      <c r="IL137" s="57"/>
      <c r="IM137" s="57"/>
      <c r="IN137" s="57"/>
      <c r="IO137" s="57"/>
      <c r="IP137" s="57"/>
      <c r="IQ137" s="57"/>
      <c r="IR137" s="57"/>
      <c r="IS137" s="57"/>
      <c r="IT137" s="57"/>
      <c r="IU137" s="57"/>
      <c r="IV137" s="57"/>
    </row>
    <row r="138" spans="1:256" s="58" customFormat="1" ht="12.75">
      <c r="A138" s="47" t="s">
        <v>26</v>
      </c>
      <c r="B138" s="47" t="s">
        <v>314</v>
      </c>
      <c r="C138" s="39" t="s">
        <v>14</v>
      </c>
      <c r="D138" s="39">
        <v>6093203005</v>
      </c>
      <c r="E138" s="39">
        <v>671300023</v>
      </c>
      <c r="F138" s="10" t="s">
        <v>189</v>
      </c>
      <c r="G138" s="10" t="s">
        <v>320</v>
      </c>
      <c r="H138" s="10"/>
      <c r="I138" s="10"/>
      <c r="J138" s="10"/>
      <c r="K138" s="61"/>
      <c r="L138" s="9"/>
      <c r="M138" s="62"/>
      <c r="N138" s="6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42"/>
      <c r="AH138" s="50"/>
      <c r="AI138" s="50"/>
      <c r="AJ138" s="50"/>
      <c r="AK138" s="43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44"/>
      <c r="CE138" s="54"/>
      <c r="CF138" s="54"/>
      <c r="CG138" s="54"/>
      <c r="CH138" s="54"/>
      <c r="CI138" s="54"/>
      <c r="CJ138" s="54">
        <f>7</f>
        <v>7</v>
      </c>
      <c r="CK138" s="54"/>
      <c r="CL138" s="54">
        <f>2+2</f>
        <v>4</v>
      </c>
      <c r="CM138" s="54">
        <f>3+1</f>
        <v>4</v>
      </c>
      <c r="CN138" s="54">
        <f>4+1</f>
        <v>5</v>
      </c>
      <c r="CO138" s="54">
        <f>4+2</f>
        <v>6</v>
      </c>
      <c r="CP138" s="54">
        <v>9</v>
      </c>
      <c r="CQ138" s="54">
        <v>9</v>
      </c>
      <c r="CR138" s="55"/>
      <c r="CS138" s="10"/>
      <c r="CT138" s="50"/>
      <c r="CU138" s="55"/>
      <c r="CV138" s="55"/>
      <c r="CW138" s="64"/>
      <c r="CX138" s="64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47"/>
      <c r="EL138" s="47"/>
      <c r="EM138" s="120"/>
      <c r="EN138" s="12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  <c r="IF138" s="57"/>
      <c r="IG138" s="57"/>
      <c r="IH138" s="57"/>
      <c r="II138" s="57"/>
      <c r="IJ138" s="57"/>
      <c r="IK138" s="57"/>
      <c r="IL138" s="57"/>
      <c r="IM138" s="57"/>
      <c r="IN138" s="57"/>
      <c r="IO138" s="57"/>
      <c r="IP138" s="57"/>
      <c r="IQ138" s="57"/>
      <c r="IR138" s="57"/>
      <c r="IS138" s="57"/>
      <c r="IT138" s="57"/>
      <c r="IU138" s="57"/>
      <c r="IV138" s="57"/>
    </row>
    <row r="139" spans="1:256" s="58" customFormat="1" ht="12.75">
      <c r="A139" s="47" t="s">
        <v>26</v>
      </c>
      <c r="B139" s="47" t="s">
        <v>314</v>
      </c>
      <c r="C139" s="39" t="s">
        <v>14</v>
      </c>
      <c r="D139" s="39">
        <v>6091323001</v>
      </c>
      <c r="E139" s="39">
        <v>671119004</v>
      </c>
      <c r="F139" s="26" t="s">
        <v>160</v>
      </c>
      <c r="G139" s="10" t="s">
        <v>320</v>
      </c>
      <c r="H139" s="10"/>
      <c r="I139" s="10" t="s">
        <v>165</v>
      </c>
      <c r="J139" s="10" t="s">
        <v>170</v>
      </c>
      <c r="K139" s="61"/>
      <c r="L139" s="9"/>
      <c r="M139" s="62"/>
      <c r="N139" s="6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42"/>
      <c r="AH139" s="50"/>
      <c r="AI139" s="50"/>
      <c r="AJ139" s="50"/>
      <c r="AK139" s="43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44"/>
      <c r="CE139" s="54"/>
      <c r="CF139" s="54"/>
      <c r="CG139" s="54"/>
      <c r="CH139" s="54"/>
      <c r="CI139" s="54">
        <v>2</v>
      </c>
      <c r="CJ139" s="54">
        <v>26</v>
      </c>
      <c r="CK139" s="54"/>
      <c r="CL139" s="54">
        <f>23+4</f>
        <v>27</v>
      </c>
      <c r="CM139" s="54">
        <f>12+5</f>
        <v>17</v>
      </c>
      <c r="CN139" s="54">
        <f>8+1</f>
        <v>9</v>
      </c>
      <c r="CO139" s="54">
        <f>9+8</f>
        <v>17</v>
      </c>
      <c r="CP139" s="54">
        <v>21</v>
      </c>
      <c r="CQ139" s="54"/>
      <c r="CR139" s="55"/>
      <c r="CS139" s="10"/>
      <c r="CT139" s="50"/>
      <c r="CU139" s="55"/>
      <c r="CV139" s="55"/>
      <c r="CW139" s="64"/>
      <c r="CX139" s="64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47"/>
      <c r="EL139" s="47"/>
      <c r="EM139" s="120"/>
      <c r="EN139" s="12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57"/>
      <c r="ID139" s="57"/>
      <c r="IE139" s="57"/>
      <c r="IF139" s="57"/>
      <c r="IG139" s="57"/>
      <c r="IH139" s="57"/>
      <c r="II139" s="57"/>
      <c r="IJ139" s="57"/>
      <c r="IK139" s="57"/>
      <c r="IL139" s="57"/>
      <c r="IM139" s="57"/>
      <c r="IN139" s="57"/>
      <c r="IO139" s="57"/>
      <c r="IP139" s="57"/>
      <c r="IQ139" s="57"/>
      <c r="IR139" s="57"/>
      <c r="IS139" s="57"/>
      <c r="IT139" s="57"/>
      <c r="IU139" s="57"/>
      <c r="IV139" s="57"/>
    </row>
    <row r="140" spans="1:256" s="58" customFormat="1" ht="12.75">
      <c r="A140" s="47" t="s">
        <v>26</v>
      </c>
      <c r="B140" s="47" t="s">
        <v>314</v>
      </c>
      <c r="C140" s="39" t="s">
        <v>14</v>
      </c>
      <c r="D140" s="39">
        <v>6091321003</v>
      </c>
      <c r="E140" s="39">
        <v>671119005</v>
      </c>
      <c r="F140" s="26" t="s">
        <v>188</v>
      </c>
      <c r="G140" s="10" t="s">
        <v>320</v>
      </c>
      <c r="H140" s="10"/>
      <c r="I140" s="10"/>
      <c r="J140" s="10"/>
      <c r="K140" s="61"/>
      <c r="L140" s="9"/>
      <c r="M140" s="62"/>
      <c r="N140" s="6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42"/>
      <c r="AH140" s="50"/>
      <c r="AI140" s="50"/>
      <c r="AJ140" s="50"/>
      <c r="AK140" s="43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44"/>
      <c r="CE140" s="54"/>
      <c r="CF140" s="54"/>
      <c r="CG140" s="54"/>
      <c r="CH140" s="54"/>
      <c r="CI140" s="54"/>
      <c r="CJ140" s="54">
        <f>4</f>
        <v>4</v>
      </c>
      <c r="CK140" s="54">
        <v>1</v>
      </c>
      <c r="CL140" s="54">
        <v>3</v>
      </c>
      <c r="CM140" s="54">
        <f>2+0</f>
        <v>2</v>
      </c>
      <c r="CN140" s="54">
        <v>0</v>
      </c>
      <c r="CO140" s="54">
        <v>1</v>
      </c>
      <c r="CP140" s="54">
        <v>3</v>
      </c>
      <c r="CQ140" s="54"/>
      <c r="CR140" s="55"/>
      <c r="CS140" s="10"/>
      <c r="CT140" s="50"/>
      <c r="CU140" s="55"/>
      <c r="CV140" s="55"/>
      <c r="CW140" s="64"/>
      <c r="CX140" s="64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47"/>
      <c r="EL140" s="47"/>
      <c r="EM140" s="120"/>
      <c r="EN140" s="12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57"/>
      <c r="ID140" s="57"/>
      <c r="IE140" s="57"/>
      <c r="IF140" s="57"/>
      <c r="IG140" s="57"/>
      <c r="IH140" s="57"/>
      <c r="II140" s="57"/>
      <c r="IJ140" s="57"/>
      <c r="IK140" s="57"/>
      <c r="IL140" s="57"/>
      <c r="IM140" s="57"/>
      <c r="IN140" s="57"/>
      <c r="IO140" s="57"/>
      <c r="IP140" s="57"/>
      <c r="IQ140" s="57"/>
      <c r="IR140" s="57"/>
      <c r="IS140" s="57"/>
      <c r="IT140" s="57"/>
      <c r="IU140" s="57"/>
      <c r="IV140" s="57"/>
    </row>
    <row r="141" spans="1:256" s="58" customFormat="1" ht="12.75">
      <c r="A141" s="47" t="s">
        <v>26</v>
      </c>
      <c r="B141" s="47" t="s">
        <v>314</v>
      </c>
      <c r="C141" s="39" t="s">
        <v>14</v>
      </c>
      <c r="D141" s="39">
        <v>7095200010</v>
      </c>
      <c r="E141" s="39">
        <v>741100136</v>
      </c>
      <c r="F141" s="48" t="s">
        <v>135</v>
      </c>
      <c r="G141" s="47" t="s">
        <v>321</v>
      </c>
      <c r="H141" s="10"/>
      <c r="I141" s="10" t="s">
        <v>165</v>
      </c>
      <c r="J141" s="10" t="s">
        <v>170</v>
      </c>
      <c r="K141" s="61"/>
      <c r="L141" s="9" t="s">
        <v>141</v>
      </c>
      <c r="M141" s="62" t="s">
        <v>21</v>
      </c>
      <c r="N141" s="62" t="s">
        <v>21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50"/>
      <c r="AI141" s="50"/>
      <c r="AJ141" s="50"/>
      <c r="AK141" s="43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44"/>
      <c r="CE141" s="54"/>
      <c r="CF141" s="54">
        <v>3</v>
      </c>
      <c r="CG141" s="54">
        <v>19</v>
      </c>
      <c r="CH141" s="54">
        <v>33</v>
      </c>
      <c r="CI141" s="54">
        <v>24</v>
      </c>
      <c r="CJ141" s="54">
        <f>35</f>
        <v>35</v>
      </c>
      <c r="CK141" s="54"/>
      <c r="CL141" s="54">
        <v>29</v>
      </c>
      <c r="CM141" s="54">
        <f>28+0</f>
        <v>28</v>
      </c>
      <c r="CN141" s="54">
        <f>28+0</f>
        <v>28</v>
      </c>
      <c r="CO141" s="54">
        <v>27</v>
      </c>
      <c r="CP141" s="54">
        <v>28</v>
      </c>
      <c r="CQ141" s="54">
        <v>26</v>
      </c>
      <c r="CR141" s="55"/>
      <c r="CS141" s="55"/>
      <c r="CT141" s="55"/>
      <c r="CU141" s="55"/>
      <c r="CV141" s="55"/>
      <c r="CW141" s="64"/>
      <c r="CX141" s="64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47"/>
      <c r="EL141" s="47"/>
      <c r="EM141" s="120"/>
      <c r="EN141" s="12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  <c r="IA141" s="57"/>
      <c r="IB141" s="57"/>
      <c r="IC141" s="57"/>
      <c r="ID141" s="57"/>
      <c r="IE141" s="57"/>
      <c r="IF141" s="57"/>
      <c r="IG141" s="57"/>
      <c r="IH141" s="57"/>
      <c r="II141" s="57"/>
      <c r="IJ141" s="57"/>
      <c r="IK141" s="57"/>
      <c r="IL141" s="57"/>
      <c r="IM141" s="57"/>
      <c r="IN141" s="57"/>
      <c r="IO141" s="57"/>
      <c r="IP141" s="57"/>
      <c r="IQ141" s="57"/>
      <c r="IR141" s="57"/>
      <c r="IS141" s="57"/>
      <c r="IT141" s="57"/>
      <c r="IU141" s="57"/>
      <c r="IV141" s="57"/>
    </row>
    <row r="142" spans="1:256" s="58" customFormat="1" ht="12.75">
      <c r="A142" s="47" t="s">
        <v>26</v>
      </c>
      <c r="B142" s="47" t="s">
        <v>314</v>
      </c>
      <c r="C142" s="39" t="s">
        <v>14</v>
      </c>
      <c r="D142" s="49">
        <v>7094200007</v>
      </c>
      <c r="E142" s="39"/>
      <c r="F142" s="48" t="s">
        <v>294</v>
      </c>
      <c r="G142" s="47" t="s">
        <v>321</v>
      </c>
      <c r="H142" s="10"/>
      <c r="I142" s="10"/>
      <c r="J142" s="10"/>
      <c r="K142" s="61"/>
      <c r="L142" s="9"/>
      <c r="M142" s="62"/>
      <c r="N142" s="62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50"/>
      <c r="AI142" s="50"/>
      <c r="AJ142" s="50"/>
      <c r="AK142" s="43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4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>
        <f>0+12</f>
        <v>12</v>
      </c>
      <c r="CO142" s="54">
        <f>8+6</f>
        <v>14</v>
      </c>
      <c r="CP142" s="54">
        <v>17</v>
      </c>
      <c r="CQ142" s="54">
        <v>14</v>
      </c>
      <c r="CR142" s="55"/>
      <c r="CS142" s="55"/>
      <c r="CT142" s="55"/>
      <c r="CU142" s="55"/>
      <c r="CV142" s="55"/>
      <c r="CW142" s="64"/>
      <c r="CX142" s="64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47"/>
      <c r="EL142" s="47"/>
      <c r="EM142" s="120"/>
      <c r="EN142" s="12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  <c r="IA142" s="57"/>
      <c r="IB142" s="57"/>
      <c r="IC142" s="57"/>
      <c r="ID142" s="57"/>
      <c r="IE142" s="57"/>
      <c r="IF142" s="57"/>
      <c r="IG142" s="57"/>
      <c r="IH142" s="57"/>
      <c r="II142" s="57"/>
      <c r="IJ142" s="57"/>
      <c r="IK142" s="57"/>
      <c r="IL142" s="57"/>
      <c r="IM142" s="57"/>
      <c r="IN142" s="57"/>
      <c r="IO142" s="57"/>
      <c r="IP142" s="57"/>
      <c r="IQ142" s="57"/>
      <c r="IR142" s="57"/>
      <c r="IS142" s="57"/>
      <c r="IT142" s="57"/>
      <c r="IU142" s="57"/>
      <c r="IV142" s="57"/>
    </row>
    <row r="143" spans="1:256" s="58" customFormat="1" ht="12.75">
      <c r="A143" s="47" t="s">
        <v>26</v>
      </c>
      <c r="B143" s="47" t="s">
        <v>314</v>
      </c>
      <c r="C143" s="39" t="s">
        <v>14</v>
      </c>
      <c r="D143" s="49">
        <v>7091345007</v>
      </c>
      <c r="E143" s="39"/>
      <c r="F143" s="48" t="s">
        <v>386</v>
      </c>
      <c r="G143" s="47" t="s">
        <v>321</v>
      </c>
      <c r="H143" s="10"/>
      <c r="I143" s="10"/>
      <c r="J143" s="10"/>
      <c r="K143" s="61"/>
      <c r="L143" s="9"/>
      <c r="M143" s="62"/>
      <c r="N143" s="62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50"/>
      <c r="AI143" s="50"/>
      <c r="AJ143" s="50"/>
      <c r="AK143" s="43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4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>
        <v>24</v>
      </c>
      <c r="CP143" s="54">
        <v>30</v>
      </c>
      <c r="CQ143" s="54">
        <v>22</v>
      </c>
      <c r="CR143" s="55"/>
      <c r="CS143" s="55"/>
      <c r="CT143" s="55"/>
      <c r="CU143" s="55"/>
      <c r="CV143" s="55"/>
      <c r="CW143" s="64"/>
      <c r="CX143" s="64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47"/>
      <c r="EL143" s="47"/>
      <c r="EM143" s="120"/>
      <c r="EN143" s="12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  <c r="GM143" s="57"/>
      <c r="GN143" s="57"/>
      <c r="GO143" s="57"/>
      <c r="GP143" s="57"/>
      <c r="GQ143" s="57"/>
      <c r="GR143" s="57"/>
      <c r="GS143" s="57"/>
      <c r="GT143" s="57"/>
      <c r="GU143" s="57"/>
      <c r="GV143" s="57"/>
      <c r="GW143" s="57"/>
      <c r="GX143" s="57"/>
      <c r="GY143" s="57"/>
      <c r="GZ143" s="57"/>
      <c r="HA143" s="57"/>
      <c r="HB143" s="57"/>
      <c r="HC143" s="57"/>
      <c r="HD143" s="57"/>
      <c r="HE143" s="57"/>
      <c r="HF143" s="57"/>
      <c r="HG143" s="57"/>
      <c r="HH143" s="57"/>
      <c r="HI143" s="57"/>
      <c r="HJ143" s="57"/>
      <c r="HK143" s="57"/>
      <c r="HL143" s="57"/>
      <c r="HM143" s="57"/>
      <c r="HN143" s="57"/>
      <c r="HO143" s="57"/>
      <c r="HP143" s="57"/>
      <c r="HQ143" s="57"/>
      <c r="HR143" s="57"/>
      <c r="HS143" s="57"/>
      <c r="HT143" s="57"/>
      <c r="HU143" s="57"/>
      <c r="HV143" s="57"/>
      <c r="HW143" s="57"/>
      <c r="HX143" s="57"/>
      <c r="HY143" s="57"/>
      <c r="HZ143" s="57"/>
      <c r="IA143" s="57"/>
      <c r="IB143" s="57"/>
      <c r="IC143" s="57"/>
      <c r="ID143" s="57"/>
      <c r="IE143" s="57"/>
      <c r="IF143" s="57"/>
      <c r="IG143" s="57"/>
      <c r="IH143" s="57"/>
      <c r="II143" s="57"/>
      <c r="IJ143" s="57"/>
      <c r="IK143" s="57"/>
      <c r="IL143" s="57"/>
      <c r="IM143" s="57"/>
      <c r="IN143" s="57"/>
      <c r="IO143" s="57"/>
      <c r="IP143" s="57"/>
      <c r="IQ143" s="57"/>
      <c r="IR143" s="57"/>
      <c r="IS143" s="57"/>
      <c r="IT143" s="57"/>
      <c r="IU143" s="57"/>
      <c r="IV143" s="57"/>
    </row>
    <row r="144" spans="1:256" s="58" customFormat="1" ht="12.75">
      <c r="A144" s="47" t="s">
        <v>26</v>
      </c>
      <c r="B144" s="47" t="s">
        <v>314</v>
      </c>
      <c r="C144" s="39" t="s">
        <v>14</v>
      </c>
      <c r="D144" s="39">
        <v>7091345007</v>
      </c>
      <c r="E144" s="39">
        <v>771000030</v>
      </c>
      <c r="F144" s="10" t="s">
        <v>374</v>
      </c>
      <c r="G144" s="47" t="s">
        <v>321</v>
      </c>
      <c r="H144" s="10"/>
      <c r="I144" s="10" t="s">
        <v>165</v>
      </c>
      <c r="J144" s="10" t="s">
        <v>170</v>
      </c>
      <c r="K144" s="61"/>
      <c r="L144" s="9" t="s">
        <v>141</v>
      </c>
      <c r="M144" s="62" t="s">
        <v>21</v>
      </c>
      <c r="N144" s="62" t="s">
        <v>21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42"/>
      <c r="AH144" s="50"/>
      <c r="AI144" s="50"/>
      <c r="AJ144" s="50"/>
      <c r="AK144" s="43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44"/>
      <c r="CE144" s="54"/>
      <c r="CF144" s="54">
        <v>47</v>
      </c>
      <c r="CG144" s="54">
        <v>47</v>
      </c>
      <c r="CH144" s="54">
        <v>9</v>
      </c>
      <c r="CI144" s="54"/>
      <c r="CJ144" s="54">
        <f>13</f>
        <v>13</v>
      </c>
      <c r="CK144" s="54"/>
      <c r="CL144" s="54">
        <v>17</v>
      </c>
      <c r="CM144" s="54">
        <f>29+0</f>
        <v>29</v>
      </c>
      <c r="CN144" s="54">
        <f>30+0</f>
        <v>30</v>
      </c>
      <c r="CO144" s="54">
        <v>14</v>
      </c>
      <c r="CP144" s="54"/>
      <c r="CQ144" s="54"/>
      <c r="CR144" s="55"/>
      <c r="CS144" s="10"/>
      <c r="CT144" s="50"/>
      <c r="CU144" s="55"/>
      <c r="CV144" s="55"/>
      <c r="CW144" s="64"/>
      <c r="CX144" s="64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47"/>
      <c r="EL144" s="47"/>
      <c r="EM144" s="120"/>
      <c r="EN144" s="12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  <c r="IT144" s="57"/>
      <c r="IU144" s="57"/>
      <c r="IV144" s="57"/>
    </row>
    <row r="145" spans="1:256" s="58" customFormat="1" ht="12.75">
      <c r="A145" s="47" t="s">
        <v>26</v>
      </c>
      <c r="B145" s="47" t="s">
        <v>314</v>
      </c>
      <c r="C145" s="39" t="s">
        <v>14</v>
      </c>
      <c r="D145" s="39"/>
      <c r="E145" s="39"/>
      <c r="F145" s="10" t="s">
        <v>405</v>
      </c>
      <c r="G145" s="47" t="s">
        <v>321</v>
      </c>
      <c r="H145" s="10"/>
      <c r="I145" s="10"/>
      <c r="J145" s="10"/>
      <c r="K145" s="61"/>
      <c r="L145" s="9"/>
      <c r="M145" s="62"/>
      <c r="N145" s="62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42"/>
      <c r="AH145" s="50"/>
      <c r="AI145" s="50"/>
      <c r="AJ145" s="50"/>
      <c r="AK145" s="43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4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>
        <v>5</v>
      </c>
      <c r="CP145" s="54">
        <v>17</v>
      </c>
      <c r="CQ145" s="54">
        <v>17</v>
      </c>
      <c r="CR145" s="55"/>
      <c r="CS145" s="10"/>
      <c r="CT145" s="50"/>
      <c r="CU145" s="55"/>
      <c r="CV145" s="55"/>
      <c r="CW145" s="64"/>
      <c r="CX145" s="64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47"/>
      <c r="EL145" s="47"/>
      <c r="EM145" s="120"/>
      <c r="EN145" s="12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  <c r="HE145" s="57"/>
      <c r="HF145" s="57"/>
      <c r="HG145" s="57"/>
      <c r="HH145" s="57"/>
      <c r="HI145" s="57"/>
      <c r="HJ145" s="57"/>
      <c r="HK145" s="57"/>
      <c r="HL145" s="57"/>
      <c r="HM145" s="57"/>
      <c r="HN145" s="57"/>
      <c r="HO145" s="57"/>
      <c r="HP145" s="57"/>
      <c r="HQ145" s="57"/>
      <c r="HR145" s="57"/>
      <c r="HS145" s="57"/>
      <c r="HT145" s="57"/>
      <c r="HU145" s="57"/>
      <c r="HV145" s="57"/>
      <c r="HW145" s="57"/>
      <c r="HX145" s="57"/>
      <c r="HY145" s="57"/>
      <c r="HZ145" s="57"/>
      <c r="IA145" s="57"/>
      <c r="IB145" s="57"/>
      <c r="IC145" s="57"/>
      <c r="ID145" s="57"/>
      <c r="IE145" s="57"/>
      <c r="IF145" s="57"/>
      <c r="IG145" s="57"/>
      <c r="IH145" s="57"/>
      <c r="II145" s="57"/>
      <c r="IJ145" s="57"/>
      <c r="IK145" s="57"/>
      <c r="IL145" s="57"/>
      <c r="IM145" s="57"/>
      <c r="IN145" s="57"/>
      <c r="IO145" s="57"/>
      <c r="IP145" s="57"/>
      <c r="IQ145" s="57"/>
      <c r="IR145" s="57"/>
      <c r="IS145" s="57"/>
      <c r="IT145" s="57"/>
      <c r="IU145" s="57"/>
      <c r="IV145" s="57"/>
    </row>
    <row r="146" spans="1:256" s="58" customFormat="1" ht="12.75">
      <c r="A146" s="47" t="s">
        <v>26</v>
      </c>
      <c r="B146" s="47" t="s">
        <v>314</v>
      </c>
      <c r="C146" s="39" t="s">
        <v>14</v>
      </c>
      <c r="D146" s="39"/>
      <c r="E146" s="39"/>
      <c r="F146" s="10" t="s">
        <v>429</v>
      </c>
      <c r="G146" s="50" t="s">
        <v>321</v>
      </c>
      <c r="H146" s="10"/>
      <c r="I146" s="10"/>
      <c r="J146" s="10"/>
      <c r="K146" s="61"/>
      <c r="L146" s="9"/>
      <c r="M146" s="62"/>
      <c r="N146" s="62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42"/>
      <c r="AH146" s="50"/>
      <c r="AI146" s="50"/>
      <c r="AJ146" s="50"/>
      <c r="AK146" s="43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4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>
        <v>4</v>
      </c>
      <c r="CQ146" s="54">
        <v>4</v>
      </c>
      <c r="CR146" s="55"/>
      <c r="CS146" s="10"/>
      <c r="CT146" s="50"/>
      <c r="CU146" s="55"/>
      <c r="CV146" s="55"/>
      <c r="CW146" s="64"/>
      <c r="CX146" s="64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47"/>
      <c r="EL146" s="47"/>
      <c r="EM146" s="120"/>
      <c r="EN146" s="12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  <c r="GY146" s="57"/>
      <c r="GZ146" s="57"/>
      <c r="HA146" s="57"/>
      <c r="HB146" s="57"/>
      <c r="HC146" s="57"/>
      <c r="HD146" s="57"/>
      <c r="HE146" s="57"/>
      <c r="HF146" s="57"/>
      <c r="HG146" s="57"/>
      <c r="HH146" s="57"/>
      <c r="HI146" s="57"/>
      <c r="HJ146" s="57"/>
      <c r="HK146" s="57"/>
      <c r="HL146" s="57"/>
      <c r="HM146" s="57"/>
      <c r="HN146" s="57"/>
      <c r="HO146" s="57"/>
      <c r="HP146" s="57"/>
      <c r="HQ146" s="57"/>
      <c r="HR146" s="57"/>
      <c r="HS146" s="57"/>
      <c r="HT146" s="57"/>
      <c r="HU146" s="57"/>
      <c r="HV146" s="57"/>
      <c r="HW146" s="57"/>
      <c r="HX146" s="57"/>
      <c r="HY146" s="57"/>
      <c r="HZ146" s="57"/>
      <c r="IA146" s="57"/>
      <c r="IB146" s="57"/>
      <c r="IC146" s="57"/>
      <c r="ID146" s="57"/>
      <c r="IE146" s="57"/>
      <c r="IF146" s="57"/>
      <c r="IG146" s="57"/>
      <c r="IH146" s="57"/>
      <c r="II146" s="57"/>
      <c r="IJ146" s="57"/>
      <c r="IK146" s="57"/>
      <c r="IL146" s="57"/>
      <c r="IM146" s="57"/>
      <c r="IN146" s="57"/>
      <c r="IO146" s="57"/>
      <c r="IP146" s="57"/>
      <c r="IQ146" s="57"/>
      <c r="IR146" s="57"/>
      <c r="IS146" s="57"/>
      <c r="IT146" s="57"/>
      <c r="IU146" s="57"/>
      <c r="IV146" s="57"/>
    </row>
    <row r="147" spans="1:256" s="58" customFormat="1" ht="12.75">
      <c r="A147" s="47" t="s">
        <v>26</v>
      </c>
      <c r="B147" s="47" t="s">
        <v>314</v>
      </c>
      <c r="C147" s="39" t="s">
        <v>14</v>
      </c>
      <c r="D147" s="39">
        <v>8072100011</v>
      </c>
      <c r="E147" s="39">
        <v>852100014</v>
      </c>
      <c r="F147" s="26" t="s">
        <v>373</v>
      </c>
      <c r="G147" s="50" t="s">
        <v>319</v>
      </c>
      <c r="H147" s="10"/>
      <c r="I147" s="10"/>
      <c r="J147" s="10"/>
      <c r="K147" s="61"/>
      <c r="L147" s="62" t="s">
        <v>141</v>
      </c>
      <c r="M147" s="62" t="s">
        <v>21</v>
      </c>
      <c r="N147" s="62" t="s">
        <v>21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50"/>
      <c r="AI147" s="50"/>
      <c r="AJ147" s="50"/>
      <c r="AK147" s="43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44"/>
      <c r="CE147" s="54"/>
      <c r="CF147" s="54"/>
      <c r="CG147" s="54"/>
      <c r="CH147" s="54"/>
      <c r="CI147" s="54"/>
      <c r="CJ147" s="54"/>
      <c r="CK147" s="54"/>
      <c r="CL147" s="54">
        <f>10+5</f>
        <v>15</v>
      </c>
      <c r="CM147" s="54">
        <f>17+0</f>
        <v>17</v>
      </c>
      <c r="CN147" s="54">
        <f>23+4</f>
        <v>27</v>
      </c>
      <c r="CO147" s="54">
        <f>27+4</f>
        <v>31</v>
      </c>
      <c r="CP147" s="54">
        <v>28</v>
      </c>
      <c r="CQ147" s="54">
        <v>30</v>
      </c>
      <c r="CR147" s="54"/>
      <c r="CS147" s="54"/>
      <c r="CT147" s="55"/>
      <c r="CU147" s="55"/>
      <c r="CV147" s="55"/>
      <c r="CW147" s="64"/>
      <c r="CX147" s="64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47"/>
      <c r="EL147" s="47"/>
      <c r="EM147" s="120"/>
      <c r="EN147" s="12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  <c r="GM147" s="57"/>
      <c r="GN147" s="57"/>
      <c r="GO147" s="57"/>
      <c r="GP147" s="57"/>
      <c r="GQ147" s="57"/>
      <c r="GR147" s="57"/>
      <c r="GS147" s="57"/>
      <c r="GT147" s="57"/>
      <c r="GU147" s="57"/>
      <c r="GV147" s="57"/>
      <c r="GW147" s="57"/>
      <c r="GX147" s="57"/>
      <c r="GY147" s="57"/>
      <c r="GZ147" s="57"/>
      <c r="HA147" s="57"/>
      <c r="HB147" s="57"/>
      <c r="HC147" s="57"/>
      <c r="HD147" s="57"/>
      <c r="HE147" s="57"/>
      <c r="HF147" s="57"/>
      <c r="HG147" s="57"/>
      <c r="HH147" s="57"/>
      <c r="HI147" s="57"/>
      <c r="HJ147" s="57"/>
      <c r="HK147" s="57"/>
      <c r="HL147" s="57"/>
      <c r="HM147" s="57"/>
      <c r="HN147" s="57"/>
      <c r="HO147" s="57"/>
      <c r="HP147" s="57"/>
      <c r="HQ147" s="57"/>
      <c r="HR147" s="57"/>
      <c r="HS147" s="57"/>
      <c r="HT147" s="57"/>
      <c r="HU147" s="57"/>
      <c r="HV147" s="57"/>
      <c r="HW147" s="57"/>
      <c r="HX147" s="57"/>
      <c r="HY147" s="57"/>
      <c r="HZ147" s="57"/>
      <c r="IA147" s="57"/>
      <c r="IB147" s="57"/>
      <c r="IC147" s="57"/>
      <c r="ID147" s="57"/>
      <c r="IE147" s="57"/>
      <c r="IF147" s="57"/>
      <c r="IG147" s="57"/>
      <c r="IH147" s="57"/>
      <c r="II147" s="57"/>
      <c r="IJ147" s="57"/>
      <c r="IK147" s="57"/>
      <c r="IL147" s="57"/>
      <c r="IM147" s="57"/>
      <c r="IN147" s="57"/>
      <c r="IO147" s="57"/>
      <c r="IP147" s="57"/>
      <c r="IQ147" s="57"/>
      <c r="IR147" s="57"/>
      <c r="IS147" s="57"/>
      <c r="IT147" s="57"/>
      <c r="IU147" s="57"/>
      <c r="IV147" s="57"/>
    </row>
    <row r="148" spans="1:256" s="58" customFormat="1" ht="12.75">
      <c r="A148" s="47" t="s">
        <v>26</v>
      </c>
      <c r="B148" s="47" t="s">
        <v>313</v>
      </c>
      <c r="C148" s="70" t="s">
        <v>11</v>
      </c>
      <c r="D148" s="70">
        <v>5042000002</v>
      </c>
      <c r="E148" s="70">
        <v>533000003</v>
      </c>
      <c r="F148" s="28" t="s">
        <v>97</v>
      </c>
      <c r="G148" s="10" t="s">
        <v>318</v>
      </c>
      <c r="H148" s="9" t="s">
        <v>65</v>
      </c>
      <c r="I148" s="9" t="s">
        <v>166</v>
      </c>
      <c r="J148" s="9" t="s">
        <v>172</v>
      </c>
      <c r="K148" s="61">
        <v>1</v>
      </c>
      <c r="L148" s="75" t="s">
        <v>23</v>
      </c>
      <c r="M148" s="62" t="s">
        <v>21</v>
      </c>
      <c r="N148" s="62"/>
      <c r="O148" s="62">
        <v>0.8077</v>
      </c>
      <c r="P148" s="62">
        <v>0.6</v>
      </c>
      <c r="Q148" s="62">
        <v>0.4</v>
      </c>
      <c r="R148" s="62">
        <v>0.5488</v>
      </c>
      <c r="S148" s="62">
        <v>0.4886</v>
      </c>
      <c r="T148" s="62">
        <v>0.6566</v>
      </c>
      <c r="U148" s="62">
        <v>0.5493</v>
      </c>
      <c r="V148" s="62">
        <v>0.6225</v>
      </c>
      <c r="W148" s="62">
        <v>0.48</v>
      </c>
      <c r="X148" s="62">
        <v>0.6772</v>
      </c>
      <c r="Y148" s="62">
        <v>0.6596</v>
      </c>
      <c r="Z148" s="103">
        <v>0.7453</v>
      </c>
      <c r="AA148" s="62">
        <v>0.5769</v>
      </c>
      <c r="AB148" s="62">
        <v>0.72</v>
      </c>
      <c r="AC148" s="62">
        <v>0.4949</v>
      </c>
      <c r="AD148" s="62">
        <v>0.6643</v>
      </c>
      <c r="AE148" s="62">
        <v>0.4175</v>
      </c>
      <c r="AF148" s="62">
        <v>0.7402</v>
      </c>
      <c r="AG148" s="62">
        <v>0.5658</v>
      </c>
      <c r="AH148" s="62">
        <v>0.8571</v>
      </c>
      <c r="AI148" s="62">
        <v>0.717948717948718</v>
      </c>
      <c r="AJ148" s="62">
        <v>0.7564102564102564</v>
      </c>
      <c r="AK148" s="80">
        <v>0.5904</v>
      </c>
      <c r="AL148" s="62">
        <v>0.7308</v>
      </c>
      <c r="AM148" s="62">
        <v>0.6875</v>
      </c>
      <c r="AN148" s="62">
        <v>0.7568</v>
      </c>
      <c r="AO148" s="62">
        <v>1</v>
      </c>
      <c r="AP148" s="79">
        <v>0.5625</v>
      </c>
      <c r="AQ148" s="79">
        <v>0.6333</v>
      </c>
      <c r="AR148" s="79">
        <v>0.7232</v>
      </c>
      <c r="AS148" s="79">
        <v>0.605</v>
      </c>
      <c r="AT148" s="79">
        <v>0.6581</v>
      </c>
      <c r="AU148" s="79">
        <v>0.48</v>
      </c>
      <c r="AV148" s="79">
        <v>0.6842</v>
      </c>
      <c r="AW148" s="79">
        <v>0.4322</v>
      </c>
      <c r="AX148" s="79">
        <v>0.7333</v>
      </c>
      <c r="AY148" s="79">
        <v>0.3833</v>
      </c>
      <c r="AZ148" s="79">
        <v>0.5739</v>
      </c>
      <c r="BA148" s="79">
        <v>0.5588235294117647</v>
      </c>
      <c r="BB148" s="79">
        <v>0.6667</v>
      </c>
      <c r="BC148" s="62">
        <f>AVERAGE(O148:P148)</f>
        <v>0.70385</v>
      </c>
      <c r="BD148" s="62">
        <f>AVERAGE(Q148:R148)</f>
        <v>0.4744</v>
      </c>
      <c r="BE148" s="62">
        <f>AVERAGE(S148:T148)</f>
        <v>0.5726</v>
      </c>
      <c r="BF148" s="62">
        <f>AVERAGE(U148:V148)</f>
        <v>0.5859000000000001</v>
      </c>
      <c r="BG148" s="62">
        <f>AVERAGE(W148:X148)</f>
        <v>0.5786</v>
      </c>
      <c r="BH148" s="62">
        <f>(Z148+Y148)/2</f>
        <v>0.70245</v>
      </c>
      <c r="BI148" s="62">
        <f>AVERAGE(AA148:AB148)</f>
        <v>0.64845</v>
      </c>
      <c r="BJ148" s="62">
        <f aca="true" t="shared" si="38" ref="BJ148:BJ153">AVERAGE(AC148:AD148)</f>
        <v>0.5796</v>
      </c>
      <c r="BK148" s="62">
        <f aca="true" t="shared" si="39" ref="BK148:BK154">AVERAGE(AE148:AF148)</f>
        <v>0.57885</v>
      </c>
      <c r="BL148" s="62">
        <f aca="true" t="shared" si="40" ref="BL148:BL154">AVERAGE(AG148:AH148)</f>
        <v>0.7114499999999999</v>
      </c>
      <c r="BM148" s="62">
        <f aca="true" t="shared" si="41" ref="BM148:BM154">AVERAGE(AI148:AJ148)</f>
        <v>0.7371794871794872</v>
      </c>
      <c r="BN148" s="62">
        <f aca="true" t="shared" si="42" ref="BN148:BN154">AVERAGE(AK148:AL148)</f>
        <v>0.6606000000000001</v>
      </c>
      <c r="BO148" s="62">
        <f aca="true" t="shared" si="43" ref="BO148:BT154">AVERAGE(AM148:AN148)</f>
        <v>0.7221500000000001</v>
      </c>
      <c r="BP148" s="62">
        <f t="shared" si="43"/>
        <v>0.8784000000000001</v>
      </c>
      <c r="BQ148" s="62">
        <f t="shared" si="43"/>
        <v>0.78125</v>
      </c>
      <c r="BR148" s="62">
        <f t="shared" si="43"/>
        <v>0.5979</v>
      </c>
      <c r="BS148" s="62">
        <f t="shared" si="43"/>
        <v>0.67825</v>
      </c>
      <c r="BT148" s="62">
        <f t="shared" si="43"/>
        <v>0.6640999999999999</v>
      </c>
      <c r="BU148" s="62">
        <f aca="true" t="shared" si="44" ref="BU148:BU154">AVERAGE(AY148:AZ148)</f>
        <v>0.47859999999999997</v>
      </c>
      <c r="BV148" s="62">
        <f>AVERAGE(BA148:BB148)</f>
        <v>0.6127617647058823</v>
      </c>
      <c r="BW148" s="61">
        <v>858</v>
      </c>
      <c r="BX148" s="61">
        <v>970</v>
      </c>
      <c r="BY148" s="61">
        <v>996</v>
      </c>
      <c r="BZ148" s="61">
        <v>1051</v>
      </c>
      <c r="CA148" s="61">
        <v>1085</v>
      </c>
      <c r="CB148" s="61">
        <v>1043</v>
      </c>
      <c r="CC148" s="61">
        <v>941</v>
      </c>
      <c r="CD148" s="138">
        <v>854</v>
      </c>
      <c r="CE148" s="61">
        <v>838</v>
      </c>
      <c r="CF148" s="61">
        <v>783</v>
      </c>
      <c r="CG148" s="61">
        <f>656+129</f>
        <v>785</v>
      </c>
      <c r="CH148" s="61">
        <f>706+122</f>
        <v>828</v>
      </c>
      <c r="CI148" s="61">
        <f>771+126</f>
        <v>897</v>
      </c>
      <c r="CJ148" s="61">
        <f>806+119</f>
        <v>925</v>
      </c>
      <c r="CK148" s="61">
        <f>854+121</f>
        <v>975</v>
      </c>
      <c r="CL148" s="61">
        <f>898+125</f>
        <v>1023</v>
      </c>
      <c r="CM148" s="61">
        <f>897+122</f>
        <v>1019</v>
      </c>
      <c r="CN148" s="61">
        <f>862+122</f>
        <v>984</v>
      </c>
      <c r="CO148" s="61">
        <f>864+121</f>
        <v>985</v>
      </c>
      <c r="CP148" s="61">
        <v>964</v>
      </c>
      <c r="CQ148" s="61">
        <v>849</v>
      </c>
      <c r="CR148" s="64">
        <v>0.69</v>
      </c>
      <c r="CS148" s="64">
        <v>0.84</v>
      </c>
      <c r="CT148" s="64">
        <v>0.87</v>
      </c>
      <c r="CU148" s="64">
        <v>0.88</v>
      </c>
      <c r="CV148" s="64">
        <v>0.94</v>
      </c>
      <c r="CW148" s="64">
        <v>0.93</v>
      </c>
      <c r="CX148" s="64">
        <v>0.92</v>
      </c>
      <c r="CY148" s="64">
        <v>0.94</v>
      </c>
      <c r="CZ148" s="64">
        <v>0.84</v>
      </c>
      <c r="DA148" s="64">
        <v>0.85</v>
      </c>
      <c r="DB148" s="64">
        <v>0.89</v>
      </c>
      <c r="DC148" s="64">
        <v>0.89</v>
      </c>
      <c r="DD148" s="64">
        <v>0.9</v>
      </c>
      <c r="DE148" s="64">
        <v>0.89</v>
      </c>
      <c r="DF148" s="64">
        <v>0.81</v>
      </c>
      <c r="DG148" s="64">
        <v>0.92</v>
      </c>
      <c r="DH148" s="64">
        <v>0.88</v>
      </c>
      <c r="DI148" s="64">
        <v>0.77</v>
      </c>
      <c r="DJ148" s="64">
        <v>0.85</v>
      </c>
      <c r="DK148" s="64">
        <v>0.8</v>
      </c>
      <c r="DL148" s="64">
        <v>0.86</v>
      </c>
      <c r="DM148" s="64">
        <v>0.72</v>
      </c>
      <c r="DN148" s="64">
        <v>0.87</v>
      </c>
      <c r="DO148" s="64">
        <v>0.8</v>
      </c>
      <c r="DP148" s="64">
        <v>0.9478260869565217</v>
      </c>
      <c r="DQ148" s="64">
        <v>0.8</v>
      </c>
      <c r="DR148" s="64">
        <v>0.77</v>
      </c>
      <c r="DS148" s="64">
        <v>0.79</v>
      </c>
      <c r="DT148" s="64">
        <v>0.98</v>
      </c>
      <c r="DU148" s="64">
        <v>0.73</v>
      </c>
      <c r="DV148" s="64">
        <v>0.74</v>
      </c>
      <c r="DW148" s="55">
        <v>0.7543859649122807</v>
      </c>
      <c r="DX148" s="55">
        <v>0.85</v>
      </c>
      <c r="DY148" s="120"/>
      <c r="DZ148" s="120"/>
      <c r="EA148" s="140">
        <v>0.808</v>
      </c>
      <c r="EB148" s="140">
        <v>1</v>
      </c>
      <c r="EC148" s="120">
        <v>0.759</v>
      </c>
      <c r="ED148" s="120">
        <v>0.969</v>
      </c>
      <c r="EE148" s="140">
        <v>0.769</v>
      </c>
      <c r="EF148" s="140">
        <v>0.923</v>
      </c>
      <c r="EG148" s="120">
        <v>0.788</v>
      </c>
      <c r="EH148" s="120">
        <v>0.94</v>
      </c>
      <c r="EI148" s="140">
        <v>0.865</v>
      </c>
      <c r="EJ148" s="140">
        <v>0.877</v>
      </c>
      <c r="EK148" s="120">
        <v>0.625</v>
      </c>
      <c r="EL148" s="120">
        <v>0.877</v>
      </c>
      <c r="EM148" s="140">
        <v>0.65</v>
      </c>
      <c r="EN148" s="140">
        <v>0.963</v>
      </c>
      <c r="EO148" s="120">
        <v>0.758</v>
      </c>
      <c r="EP148" s="120">
        <v>0.919</v>
      </c>
      <c r="EQ148" s="140">
        <v>0.75</v>
      </c>
      <c r="ER148" s="140">
        <v>0.988</v>
      </c>
      <c r="ES148" s="120">
        <v>0.672</v>
      </c>
      <c r="ET148" s="120">
        <v>0.92</v>
      </c>
      <c r="EU148" s="140">
        <v>0.744</v>
      </c>
      <c r="EV148" s="140">
        <v>0.967</v>
      </c>
      <c r="EW148" s="120">
        <v>0.632</v>
      </c>
      <c r="EX148" s="120">
        <v>0.898</v>
      </c>
      <c r="EY148" s="120">
        <v>0.765</v>
      </c>
      <c r="EZ148" s="120">
        <v>0.967</v>
      </c>
      <c r="FA148" s="120">
        <v>0.483</v>
      </c>
      <c r="FB148" s="120">
        <v>0.814</v>
      </c>
      <c r="FC148" s="120">
        <v>0.692</v>
      </c>
      <c r="FD148" s="120">
        <v>0.847</v>
      </c>
      <c r="FE148" s="122">
        <v>0.408</v>
      </c>
      <c r="FF148" s="122">
        <v>0.662</v>
      </c>
      <c r="FG148" s="124">
        <v>0.461</v>
      </c>
      <c r="FH148" s="124">
        <v>0.654</v>
      </c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57"/>
      <c r="ID148" s="57"/>
      <c r="IE148" s="57"/>
      <c r="IF148" s="57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  <c r="IQ148" s="57"/>
      <c r="IR148" s="57"/>
      <c r="IS148" s="57"/>
      <c r="IT148" s="57"/>
      <c r="IU148" s="57"/>
      <c r="IV148" s="57"/>
    </row>
    <row r="149" spans="1:256" s="58" customFormat="1" ht="12.75">
      <c r="A149" s="47" t="s">
        <v>26</v>
      </c>
      <c r="B149" s="47" t="s">
        <v>313</v>
      </c>
      <c r="C149" s="39" t="s">
        <v>11</v>
      </c>
      <c r="D149" s="39">
        <v>5041400026</v>
      </c>
      <c r="E149" s="39">
        <v>533400026</v>
      </c>
      <c r="F149" s="26" t="s">
        <v>98</v>
      </c>
      <c r="G149" s="10" t="s">
        <v>318</v>
      </c>
      <c r="H149" s="10" t="s">
        <v>65</v>
      </c>
      <c r="I149" s="10" t="s">
        <v>166</v>
      </c>
      <c r="J149" s="10" t="s">
        <v>172</v>
      </c>
      <c r="K149" s="61">
        <v>1</v>
      </c>
      <c r="L149" s="75" t="s">
        <v>23</v>
      </c>
      <c r="M149" s="62" t="s">
        <v>21</v>
      </c>
      <c r="N149" s="62"/>
      <c r="O149" s="62">
        <v>0.59</v>
      </c>
      <c r="P149" s="62">
        <v>0.7362</v>
      </c>
      <c r="Q149" s="60">
        <v>0.63</v>
      </c>
      <c r="R149" s="60">
        <v>0.5514</v>
      </c>
      <c r="S149" s="60">
        <v>0.65</v>
      </c>
      <c r="T149" s="60">
        <v>0.6226</v>
      </c>
      <c r="U149" s="60">
        <v>0.6016</v>
      </c>
      <c r="V149" s="60">
        <v>0.6807</v>
      </c>
      <c r="W149" s="60">
        <v>0.6471</v>
      </c>
      <c r="X149" s="62">
        <v>0.7888</v>
      </c>
      <c r="Y149" s="104">
        <v>0.6438</v>
      </c>
      <c r="Z149" s="62">
        <v>0.73</v>
      </c>
      <c r="AA149" s="62">
        <v>0.789</v>
      </c>
      <c r="AB149" s="62">
        <v>0.71</v>
      </c>
      <c r="AC149" s="62">
        <v>0.7156</v>
      </c>
      <c r="AD149" s="62">
        <v>0.7483</v>
      </c>
      <c r="AE149" s="62">
        <v>0.7071</v>
      </c>
      <c r="AF149" s="62">
        <v>0.803</v>
      </c>
      <c r="AG149" s="62">
        <v>0.7013</v>
      </c>
      <c r="AH149" s="62">
        <v>0.9211</v>
      </c>
      <c r="AI149" s="62">
        <v>0.7722</v>
      </c>
      <c r="AJ149" s="62">
        <v>0.8537</v>
      </c>
      <c r="AK149" s="80">
        <v>0.6835</v>
      </c>
      <c r="AL149" s="141">
        <v>0.7625</v>
      </c>
      <c r="AM149" s="62">
        <v>0.5062</v>
      </c>
      <c r="AN149" s="62">
        <v>0.7297</v>
      </c>
      <c r="AO149" s="62">
        <v>0.899</v>
      </c>
      <c r="AP149" s="81">
        <v>0.725</v>
      </c>
      <c r="AQ149" s="81">
        <v>0.6942</v>
      </c>
      <c r="AR149" s="81">
        <v>0.7658</v>
      </c>
      <c r="AS149" s="81">
        <v>0.6218</v>
      </c>
      <c r="AT149" s="81">
        <v>0.6752</v>
      </c>
      <c r="AU149" s="81">
        <v>0.4914</v>
      </c>
      <c r="AV149" s="81">
        <v>0.625</v>
      </c>
      <c r="AW149" s="81">
        <v>0.6017</v>
      </c>
      <c r="AX149" s="81">
        <v>0.7156</v>
      </c>
      <c r="AY149" s="81">
        <v>0.55</v>
      </c>
      <c r="AZ149" s="81">
        <v>0.5932</v>
      </c>
      <c r="BA149" s="81">
        <v>0.5564516129032258</v>
      </c>
      <c r="BB149" s="81">
        <v>0.7018</v>
      </c>
      <c r="BC149" s="60">
        <f>AVERAGE(O149:P149)</f>
        <v>0.6631</v>
      </c>
      <c r="BD149" s="60">
        <f>AVERAGE(Q149:R149)</f>
        <v>0.5907</v>
      </c>
      <c r="BE149" s="60">
        <f>AVERAGE(S149:T149)</f>
        <v>0.6363000000000001</v>
      </c>
      <c r="BF149" s="60">
        <f>AVERAGE(U149:V149)</f>
        <v>0.64115</v>
      </c>
      <c r="BG149" s="62">
        <f>AVERAGE(W149:X149)</f>
        <v>0.71795</v>
      </c>
      <c r="BH149" s="62">
        <f>(Z149+Y149)/2</f>
        <v>0.6869000000000001</v>
      </c>
      <c r="BI149" s="62">
        <f>AVERAGE(AA149:AB149)</f>
        <v>0.7495</v>
      </c>
      <c r="BJ149" s="62">
        <f t="shared" si="38"/>
        <v>0.73195</v>
      </c>
      <c r="BK149" s="62">
        <f t="shared" si="39"/>
        <v>0.75505</v>
      </c>
      <c r="BL149" s="62">
        <f t="shared" si="40"/>
        <v>0.8112</v>
      </c>
      <c r="BM149" s="62">
        <f t="shared" si="41"/>
        <v>0.8129500000000001</v>
      </c>
      <c r="BN149" s="62">
        <f t="shared" si="42"/>
        <v>0.723</v>
      </c>
      <c r="BO149" s="62">
        <f t="shared" si="43"/>
        <v>0.61795</v>
      </c>
      <c r="BP149" s="62">
        <f t="shared" si="43"/>
        <v>0.81435</v>
      </c>
      <c r="BQ149" s="62">
        <f t="shared" si="43"/>
        <v>0.812</v>
      </c>
      <c r="BR149" s="62">
        <f t="shared" si="43"/>
        <v>0.7096</v>
      </c>
      <c r="BS149" s="62">
        <f t="shared" si="43"/>
        <v>0.73</v>
      </c>
      <c r="BT149" s="62">
        <f t="shared" si="43"/>
        <v>0.6938</v>
      </c>
      <c r="BU149" s="62">
        <f t="shared" si="44"/>
        <v>0.5716</v>
      </c>
      <c r="BV149" s="62">
        <f aca="true" t="shared" si="45" ref="BV149:BV154">AVERAGE(BA149:BB149)</f>
        <v>0.6291258064516129</v>
      </c>
      <c r="BW149" s="61">
        <v>1226</v>
      </c>
      <c r="BX149" s="54">
        <v>1318</v>
      </c>
      <c r="BY149" s="54">
        <v>1293</v>
      </c>
      <c r="BZ149" s="54">
        <v>1257</v>
      </c>
      <c r="CA149" s="54">
        <v>1289</v>
      </c>
      <c r="CB149" s="54">
        <v>1197</v>
      </c>
      <c r="CC149" s="54">
        <v>1015</v>
      </c>
      <c r="CD149" s="44">
        <v>922</v>
      </c>
      <c r="CE149" s="54">
        <v>882</v>
      </c>
      <c r="CF149" s="54">
        <v>816</v>
      </c>
      <c r="CG149" s="54">
        <f>680+121</f>
        <v>801</v>
      </c>
      <c r="CH149" s="54">
        <f>706+119</f>
        <v>825</v>
      </c>
      <c r="CI149" s="54">
        <f>756+117</f>
        <v>873</v>
      </c>
      <c r="CJ149" s="54">
        <f>821+120</f>
        <v>941</v>
      </c>
      <c r="CK149" s="54">
        <f>871+120</f>
        <v>991</v>
      </c>
      <c r="CL149" s="54">
        <f>903+124</f>
        <v>1027</v>
      </c>
      <c r="CM149" s="54">
        <f>904+126</f>
        <v>1030</v>
      </c>
      <c r="CN149" s="54">
        <f>914+122</f>
        <v>1036</v>
      </c>
      <c r="CO149" s="54">
        <f>918+121</f>
        <v>1039</v>
      </c>
      <c r="CP149" s="54">
        <v>1015</v>
      </c>
      <c r="CQ149" s="54">
        <v>905</v>
      </c>
      <c r="CR149" s="55">
        <v>0.88</v>
      </c>
      <c r="CS149" s="55">
        <v>0.86</v>
      </c>
      <c r="CT149" s="55">
        <v>0.92</v>
      </c>
      <c r="CU149" s="55">
        <v>0.99</v>
      </c>
      <c r="CV149" s="55">
        <v>0.92</v>
      </c>
      <c r="CW149" s="64">
        <v>0.87</v>
      </c>
      <c r="CX149" s="64">
        <v>0.97</v>
      </c>
      <c r="CY149" s="55">
        <v>0.95</v>
      </c>
      <c r="CZ149" s="55">
        <v>0.91</v>
      </c>
      <c r="DA149" s="55">
        <v>0.83</v>
      </c>
      <c r="DB149" s="55">
        <v>0.99</v>
      </c>
      <c r="DC149" s="55">
        <v>0.86</v>
      </c>
      <c r="DD149" s="55">
        <v>0.92</v>
      </c>
      <c r="DE149" s="55">
        <v>0.89</v>
      </c>
      <c r="DF149" s="55">
        <v>0.85</v>
      </c>
      <c r="DG149" s="55">
        <v>0.84</v>
      </c>
      <c r="DH149" s="55">
        <v>0.91</v>
      </c>
      <c r="DI149" s="55">
        <v>0.81</v>
      </c>
      <c r="DJ149" s="55">
        <v>0.92</v>
      </c>
      <c r="DK149" s="55">
        <v>0.8448275862068966</v>
      </c>
      <c r="DL149" s="55">
        <v>0.82</v>
      </c>
      <c r="DM149" s="55">
        <v>0.97</v>
      </c>
      <c r="DN149" s="55">
        <v>0.87</v>
      </c>
      <c r="DO149" s="55">
        <v>0.85</v>
      </c>
      <c r="DP149" s="55">
        <v>0.9343065693430657</v>
      </c>
      <c r="DQ149" s="55">
        <v>0.782258064516129</v>
      </c>
      <c r="DR149" s="55">
        <v>0.7338129496402878</v>
      </c>
      <c r="DS149" s="55">
        <v>0.81</v>
      </c>
      <c r="DT149" s="55">
        <v>0.95</v>
      </c>
      <c r="DU149" s="55">
        <v>0.85</v>
      </c>
      <c r="DV149" s="55">
        <v>0.85</v>
      </c>
      <c r="DW149" s="55">
        <v>0.9122807017543859</v>
      </c>
      <c r="DX149" s="55">
        <v>0.98</v>
      </c>
      <c r="DY149" s="122">
        <v>0.772</v>
      </c>
      <c r="DZ149" s="122">
        <v>0.953</v>
      </c>
      <c r="EA149" s="124">
        <v>0.866</v>
      </c>
      <c r="EB149" s="124">
        <v>0.973</v>
      </c>
      <c r="EC149" s="122">
        <v>0.734</v>
      </c>
      <c r="ED149" s="122">
        <v>0.921</v>
      </c>
      <c r="EE149" s="124">
        <v>0.85</v>
      </c>
      <c r="EF149" s="124">
        <v>1</v>
      </c>
      <c r="EG149" s="122">
        <v>0.691</v>
      </c>
      <c r="EH149" s="122">
        <v>1</v>
      </c>
      <c r="EI149" s="124">
        <v>0.757</v>
      </c>
      <c r="EJ149" s="124">
        <v>0.982</v>
      </c>
      <c r="EK149" s="122">
        <v>0.772</v>
      </c>
      <c r="EL149" s="122">
        <v>0.953</v>
      </c>
      <c r="EM149" s="124">
        <v>0.84</v>
      </c>
      <c r="EN149" s="124">
        <v>1</v>
      </c>
      <c r="EO149" s="122">
        <v>0.756</v>
      </c>
      <c r="EP149" s="122">
        <v>0.978</v>
      </c>
      <c r="EQ149" s="124">
        <v>0.802</v>
      </c>
      <c r="ER149" s="124">
        <v>1</v>
      </c>
      <c r="ES149" s="122">
        <v>0.588</v>
      </c>
      <c r="ET149" s="122">
        <v>0.946</v>
      </c>
      <c r="EU149" s="124">
        <v>0.726</v>
      </c>
      <c r="EV149" s="124">
        <v>0.934</v>
      </c>
      <c r="EW149" s="122">
        <v>0.586</v>
      </c>
      <c r="EX149" s="122">
        <v>0.782</v>
      </c>
      <c r="EY149" s="124">
        <v>0.625</v>
      </c>
      <c r="EZ149" s="124">
        <v>0.843</v>
      </c>
      <c r="FA149" s="122">
        <v>0.593</v>
      </c>
      <c r="FB149" s="122">
        <v>0.761</v>
      </c>
      <c r="FC149" s="124">
        <v>0.679</v>
      </c>
      <c r="FD149" s="124">
        <v>0.822</v>
      </c>
      <c r="FE149" s="122">
        <v>0.325</v>
      </c>
      <c r="FF149" s="122">
        <v>0.494</v>
      </c>
      <c r="FG149" s="124">
        <v>0.331</v>
      </c>
      <c r="FH149" s="124">
        <v>0.488</v>
      </c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57"/>
      <c r="HX149" s="57"/>
      <c r="HY149" s="57"/>
      <c r="HZ149" s="57"/>
      <c r="IA149" s="57"/>
      <c r="IB149" s="57"/>
      <c r="IC149" s="57"/>
      <c r="ID149" s="57"/>
      <c r="IE149" s="57"/>
      <c r="IF149" s="57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  <c r="IT149" s="57"/>
      <c r="IU149" s="57"/>
      <c r="IV149" s="57"/>
    </row>
    <row r="150" spans="1:256" s="58" customFormat="1" ht="12.75">
      <c r="A150" s="47" t="s">
        <v>26</v>
      </c>
      <c r="B150" s="47" t="s">
        <v>313</v>
      </c>
      <c r="C150" s="39" t="s">
        <v>11</v>
      </c>
      <c r="D150" s="39">
        <v>5031400003</v>
      </c>
      <c r="E150" s="39">
        <v>531400008</v>
      </c>
      <c r="F150" s="26" t="s">
        <v>99</v>
      </c>
      <c r="G150" s="10" t="s">
        <v>318</v>
      </c>
      <c r="H150" s="10" t="s">
        <v>65</v>
      </c>
      <c r="I150" s="10" t="s">
        <v>166</v>
      </c>
      <c r="J150" s="10" t="s">
        <v>172</v>
      </c>
      <c r="K150" s="61"/>
      <c r="L150" s="75" t="s">
        <v>23</v>
      </c>
      <c r="M150" s="62" t="s">
        <v>21</v>
      </c>
      <c r="N150" s="62"/>
      <c r="O150" s="62">
        <v>0.375</v>
      </c>
      <c r="P150" s="62">
        <v>0.5</v>
      </c>
      <c r="Q150" s="60">
        <v>0.2222</v>
      </c>
      <c r="R150" s="60">
        <v>0.3913</v>
      </c>
      <c r="S150" s="60">
        <v>0</v>
      </c>
      <c r="T150" s="60">
        <v>0.0727</v>
      </c>
      <c r="U150" s="60">
        <v>0.439</v>
      </c>
      <c r="V150" s="60">
        <v>0.4717</v>
      </c>
      <c r="W150" s="60">
        <v>0.766</v>
      </c>
      <c r="X150" s="62">
        <v>0.6275</v>
      </c>
      <c r="Y150" s="62">
        <v>0.2273</v>
      </c>
      <c r="Z150" s="62">
        <v>0.1724</v>
      </c>
      <c r="AA150" s="62">
        <v>0.13725490196078433</v>
      </c>
      <c r="AB150" s="62">
        <v>0.32</v>
      </c>
      <c r="AC150" s="62">
        <v>0.2286</v>
      </c>
      <c r="AD150" s="62">
        <v>0.4737</v>
      </c>
      <c r="AE150" s="62">
        <v>0.2973</v>
      </c>
      <c r="AF150" s="62">
        <v>0.4091</v>
      </c>
      <c r="AG150" s="62">
        <v>0.7</v>
      </c>
      <c r="AH150" s="62">
        <v>0.3448</v>
      </c>
      <c r="AI150" s="62">
        <v>0.28</v>
      </c>
      <c r="AJ150" s="62">
        <v>0.29411764705882354</v>
      </c>
      <c r="AK150" s="92"/>
      <c r="AL150" s="62">
        <v>0.6176470588235294</v>
      </c>
      <c r="AM150" s="86"/>
      <c r="AN150" s="62">
        <v>0.42424242424242425</v>
      </c>
      <c r="AO150" s="86"/>
      <c r="AP150" s="81">
        <v>0.42857142857142855</v>
      </c>
      <c r="AQ150" s="86"/>
      <c r="AR150" s="81">
        <v>0.35294117647058826</v>
      </c>
      <c r="AS150" s="86"/>
      <c r="AT150" s="81">
        <v>0.47619047619047616</v>
      </c>
      <c r="AU150" s="86"/>
      <c r="AV150" s="81">
        <v>0.36231884057971014</v>
      </c>
      <c r="AW150" s="84"/>
      <c r="AX150" s="81">
        <v>0.3385</v>
      </c>
      <c r="AY150" s="84"/>
      <c r="AZ150" s="81">
        <v>0.2388</v>
      </c>
      <c r="BA150" s="84"/>
      <c r="BB150" s="81">
        <v>0.3194</v>
      </c>
      <c r="BC150" s="60">
        <f>AVERAGE(O150:P150)</f>
        <v>0.4375</v>
      </c>
      <c r="BD150" s="60">
        <f>AVERAGE(Q150:R150)</f>
        <v>0.30674999999999997</v>
      </c>
      <c r="BE150" s="60">
        <f>AVERAGE(S150:T150)</f>
        <v>0.03635</v>
      </c>
      <c r="BF150" s="60">
        <f>AVERAGE(U150:V150)</f>
        <v>0.45535000000000003</v>
      </c>
      <c r="BG150" s="62">
        <f>AVERAGE(W150:X150)</f>
        <v>0.69675</v>
      </c>
      <c r="BH150" s="62">
        <f>(Z150+Y150)/2</f>
        <v>0.19985</v>
      </c>
      <c r="BI150" s="62">
        <f>AVERAGE(AA150:AB150)</f>
        <v>0.22862745098039217</v>
      </c>
      <c r="BJ150" s="62">
        <f t="shared" si="38"/>
        <v>0.35115</v>
      </c>
      <c r="BK150" s="62">
        <f t="shared" si="39"/>
        <v>0.3532</v>
      </c>
      <c r="BL150" s="62">
        <f t="shared" si="40"/>
        <v>0.5224</v>
      </c>
      <c r="BM150" s="62">
        <f t="shared" si="41"/>
        <v>0.2870588235294118</v>
      </c>
      <c r="BN150" s="62">
        <f t="shared" si="42"/>
        <v>0.6176470588235294</v>
      </c>
      <c r="BO150" s="62">
        <f t="shared" si="43"/>
        <v>0.42424242424242425</v>
      </c>
      <c r="BP150" s="62">
        <f t="shared" si="43"/>
        <v>0.42424242424242425</v>
      </c>
      <c r="BQ150" s="62">
        <f t="shared" si="43"/>
        <v>0.42857142857142855</v>
      </c>
      <c r="BR150" s="62">
        <f t="shared" si="43"/>
        <v>0.42857142857142855</v>
      </c>
      <c r="BS150" s="62">
        <f t="shared" si="43"/>
        <v>0.35294117647058826</v>
      </c>
      <c r="BT150" s="62">
        <f t="shared" si="43"/>
        <v>0.35294117647058826</v>
      </c>
      <c r="BU150" s="62">
        <f t="shared" si="44"/>
        <v>0.2388</v>
      </c>
      <c r="BV150" s="62">
        <f t="shared" si="45"/>
        <v>0.3194</v>
      </c>
      <c r="BW150" s="61">
        <v>294</v>
      </c>
      <c r="BX150" s="54">
        <v>293</v>
      </c>
      <c r="BY150" s="54">
        <v>308</v>
      </c>
      <c r="BZ150" s="54">
        <v>293</v>
      </c>
      <c r="CA150" s="54">
        <v>266</v>
      </c>
      <c r="CB150" s="54">
        <v>221</v>
      </c>
      <c r="CC150" s="65">
        <v>245</v>
      </c>
      <c r="CD150" s="45">
        <v>218</v>
      </c>
      <c r="CE150" s="65">
        <v>195</v>
      </c>
      <c r="CF150" s="65">
        <v>169</v>
      </c>
      <c r="CG150" s="65">
        <v>151</v>
      </c>
      <c r="CH150" s="65">
        <f>151</f>
        <v>151</v>
      </c>
      <c r="CI150" s="65">
        <f>134+7</f>
        <v>141</v>
      </c>
      <c r="CJ150" s="65">
        <f>164</f>
        <v>164</v>
      </c>
      <c r="CK150" s="65">
        <f>192+0</f>
        <v>192</v>
      </c>
      <c r="CL150" s="65">
        <v>215</v>
      </c>
      <c r="CM150" s="65">
        <f>208+0</f>
        <v>208</v>
      </c>
      <c r="CN150" s="65">
        <f>228+0</f>
        <v>228</v>
      </c>
      <c r="CO150" s="65">
        <v>244</v>
      </c>
      <c r="CP150" s="65">
        <v>241</v>
      </c>
      <c r="CQ150" s="65">
        <v>258</v>
      </c>
      <c r="CR150" s="55">
        <v>0.67</v>
      </c>
      <c r="CS150" s="55">
        <v>0.31</v>
      </c>
      <c r="CT150" s="55">
        <v>0.72</v>
      </c>
      <c r="CU150" s="55">
        <v>0.68</v>
      </c>
      <c r="CV150" s="55">
        <v>0.86</v>
      </c>
      <c r="CW150" s="64">
        <v>0.85</v>
      </c>
      <c r="CX150" s="64">
        <v>0.72</v>
      </c>
      <c r="CY150" s="55">
        <v>0.6</v>
      </c>
      <c r="CZ150" s="55">
        <v>0.79</v>
      </c>
      <c r="DA150" s="66"/>
      <c r="DB150" s="55">
        <v>0.82</v>
      </c>
      <c r="DC150" s="66"/>
      <c r="DD150" s="55">
        <v>0.76</v>
      </c>
      <c r="DE150" s="66"/>
      <c r="DF150" s="55">
        <v>0.71</v>
      </c>
      <c r="DG150" s="66"/>
      <c r="DH150" s="55">
        <v>0.63</v>
      </c>
      <c r="DI150" s="66"/>
      <c r="DJ150" s="55">
        <v>0.71</v>
      </c>
      <c r="DK150" s="66"/>
      <c r="DL150" s="55">
        <v>0.59</v>
      </c>
      <c r="DM150" s="66"/>
      <c r="DN150" s="55">
        <v>0.75</v>
      </c>
      <c r="DO150" s="66"/>
      <c r="DP150" s="55">
        <v>0.6119402985074627</v>
      </c>
      <c r="DQ150" s="66"/>
      <c r="DR150" s="55">
        <v>0.5277777777777778</v>
      </c>
      <c r="DS150" s="142"/>
      <c r="DT150" s="55">
        <v>0.67</v>
      </c>
      <c r="DU150" s="142"/>
      <c r="DV150" s="55">
        <v>0.7</v>
      </c>
      <c r="DW150" s="142"/>
      <c r="DX150" s="55">
        <v>0.76</v>
      </c>
      <c r="DY150" s="122" t="s">
        <v>211</v>
      </c>
      <c r="DZ150" s="122" t="s">
        <v>211</v>
      </c>
      <c r="EA150" s="124">
        <v>0.382</v>
      </c>
      <c r="EB150" s="124">
        <v>1</v>
      </c>
      <c r="EC150" s="122" t="s">
        <v>211</v>
      </c>
      <c r="ED150" s="122" t="s">
        <v>211</v>
      </c>
      <c r="EE150" s="124">
        <v>0.647</v>
      </c>
      <c r="EF150" s="124">
        <v>1</v>
      </c>
      <c r="EG150" s="122" t="s">
        <v>211</v>
      </c>
      <c r="EH150" s="122" t="s">
        <v>211</v>
      </c>
      <c r="EI150" s="124">
        <v>0.545</v>
      </c>
      <c r="EJ150" s="124">
        <v>0.947</v>
      </c>
      <c r="EK150" s="122" t="s">
        <v>211</v>
      </c>
      <c r="EL150" s="122" t="s">
        <v>211</v>
      </c>
      <c r="EM150" s="124">
        <v>0.476</v>
      </c>
      <c r="EN150" s="124">
        <v>1</v>
      </c>
      <c r="EO150" s="122" t="s">
        <v>211</v>
      </c>
      <c r="EP150" s="122" t="s">
        <v>211</v>
      </c>
      <c r="EQ150" s="124">
        <v>0.353</v>
      </c>
      <c r="ER150" s="124">
        <v>1</v>
      </c>
      <c r="ES150" s="122" t="s">
        <v>211</v>
      </c>
      <c r="ET150" s="122" t="s">
        <v>211</v>
      </c>
      <c r="EU150" s="124">
        <v>0.571</v>
      </c>
      <c r="EV150" s="124">
        <v>0.75</v>
      </c>
      <c r="EW150" s="122" t="s">
        <v>211</v>
      </c>
      <c r="EX150" s="122" t="s">
        <v>211</v>
      </c>
      <c r="EY150" s="124">
        <v>0.319</v>
      </c>
      <c r="EZ150" s="124">
        <v>0.629</v>
      </c>
      <c r="FA150" s="122" t="s">
        <v>211</v>
      </c>
      <c r="FB150" s="122" t="s">
        <v>211</v>
      </c>
      <c r="FC150" s="124">
        <v>0.292</v>
      </c>
      <c r="FD150" s="124">
        <v>0.731</v>
      </c>
      <c r="FE150" s="122"/>
      <c r="FF150" s="122"/>
      <c r="FG150" s="124">
        <v>0.09</v>
      </c>
      <c r="FH150" s="124">
        <v>0.214</v>
      </c>
      <c r="FI150" s="57"/>
      <c r="FJ150" s="57"/>
      <c r="FK150" s="57"/>
      <c r="FL150" s="57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  <c r="GM150" s="57"/>
      <c r="GN150" s="57"/>
      <c r="GO150" s="57"/>
      <c r="GP150" s="57"/>
      <c r="GQ150" s="57"/>
      <c r="GR150" s="57"/>
      <c r="GS150" s="57"/>
      <c r="GT150" s="57"/>
      <c r="GU150" s="57"/>
      <c r="GV150" s="57"/>
      <c r="GW150" s="57"/>
      <c r="GX150" s="57"/>
      <c r="GY150" s="57"/>
      <c r="GZ150" s="57"/>
      <c r="HA150" s="57"/>
      <c r="HB150" s="57"/>
      <c r="HC150" s="57"/>
      <c r="HD150" s="57"/>
      <c r="HE150" s="57"/>
      <c r="HF150" s="57"/>
      <c r="HG150" s="57"/>
      <c r="HH150" s="57"/>
      <c r="HI150" s="57"/>
      <c r="HJ150" s="57"/>
      <c r="HK150" s="57"/>
      <c r="HL150" s="57"/>
      <c r="HM150" s="57"/>
      <c r="HN150" s="57"/>
      <c r="HO150" s="57"/>
      <c r="HP150" s="57"/>
      <c r="HQ150" s="57"/>
      <c r="HR150" s="57"/>
      <c r="HS150" s="57"/>
      <c r="HT150" s="57"/>
      <c r="HU150" s="57"/>
      <c r="HV150" s="57"/>
      <c r="HW150" s="57"/>
      <c r="HX150" s="57"/>
      <c r="HY150" s="57"/>
      <c r="HZ150" s="57"/>
      <c r="IA150" s="57"/>
      <c r="IB150" s="57"/>
      <c r="IC150" s="57"/>
      <c r="ID150" s="57"/>
      <c r="IE150" s="57"/>
      <c r="IF150" s="57"/>
      <c r="IG150" s="57"/>
      <c r="IH150" s="57"/>
      <c r="II150" s="57"/>
      <c r="IJ150" s="57"/>
      <c r="IK150" s="57"/>
      <c r="IL150" s="57"/>
      <c r="IM150" s="57"/>
      <c r="IN150" s="57"/>
      <c r="IO150" s="57"/>
      <c r="IP150" s="57"/>
      <c r="IQ150" s="57"/>
      <c r="IR150" s="57"/>
      <c r="IS150" s="57"/>
      <c r="IT150" s="57"/>
      <c r="IU150" s="57"/>
      <c r="IV150" s="57"/>
    </row>
    <row r="151" spans="1:256" s="58" customFormat="1" ht="12.75">
      <c r="A151" s="47" t="s">
        <v>26</v>
      </c>
      <c r="B151" s="47" t="s">
        <v>313</v>
      </c>
      <c r="C151" s="39" t="s">
        <v>11</v>
      </c>
      <c r="D151" s="39">
        <v>5041100025</v>
      </c>
      <c r="E151" s="39">
        <v>533100037</v>
      </c>
      <c r="F151" s="26" t="s">
        <v>100</v>
      </c>
      <c r="G151" s="10" t="s">
        <v>318</v>
      </c>
      <c r="H151" s="10" t="s">
        <v>65</v>
      </c>
      <c r="I151" s="10" t="s">
        <v>166</v>
      </c>
      <c r="J151" s="10" t="s">
        <v>172</v>
      </c>
      <c r="K151" s="61">
        <v>1</v>
      </c>
      <c r="L151" s="75" t="s">
        <v>22</v>
      </c>
      <c r="M151" s="62" t="s">
        <v>21</v>
      </c>
      <c r="N151" s="62"/>
      <c r="O151" s="62">
        <v>0.5532</v>
      </c>
      <c r="P151" s="60">
        <v>0.4938</v>
      </c>
      <c r="Q151" s="93">
        <v>0.28</v>
      </c>
      <c r="R151" s="60">
        <v>0.3818</v>
      </c>
      <c r="S151" s="60">
        <v>0.4842</v>
      </c>
      <c r="T151" s="60">
        <v>0.4758</v>
      </c>
      <c r="U151" s="60">
        <v>0.2857</v>
      </c>
      <c r="V151" s="60">
        <v>0.4464</v>
      </c>
      <c r="W151" s="62">
        <v>0.537</v>
      </c>
      <c r="X151" s="62">
        <v>0.5514</v>
      </c>
      <c r="Y151" s="62">
        <v>0.3061</v>
      </c>
      <c r="Z151" s="62">
        <v>0.5217</v>
      </c>
      <c r="AA151" s="62">
        <v>0.287</v>
      </c>
      <c r="AB151" s="62">
        <v>0.4476</v>
      </c>
      <c r="AC151" s="62">
        <v>0.5204</v>
      </c>
      <c r="AD151" s="62">
        <v>0.6395</v>
      </c>
      <c r="AE151" s="62">
        <v>0.4333</v>
      </c>
      <c r="AF151" s="62">
        <v>0.6031</v>
      </c>
      <c r="AG151" s="62">
        <v>0.6184</v>
      </c>
      <c r="AH151" s="62">
        <v>0.6447</v>
      </c>
      <c r="AI151" s="62">
        <v>0.5823</v>
      </c>
      <c r="AJ151" s="80">
        <v>0.6622</v>
      </c>
      <c r="AK151" s="62">
        <v>0.4375</v>
      </c>
      <c r="AL151" s="62">
        <v>0.519</v>
      </c>
      <c r="AM151" s="62">
        <v>0.3333</v>
      </c>
      <c r="AN151" s="62">
        <v>0.4286</v>
      </c>
      <c r="AO151" s="62">
        <v>0.3671</v>
      </c>
      <c r="AP151" s="81">
        <v>0.4675</v>
      </c>
      <c r="AQ151" s="81">
        <v>0.525</v>
      </c>
      <c r="AR151" s="81">
        <v>0.3565</v>
      </c>
      <c r="AS151" s="81">
        <v>0.3559</v>
      </c>
      <c r="AT151" s="81">
        <v>0.5405</v>
      </c>
      <c r="AU151" s="81">
        <v>0.3667</v>
      </c>
      <c r="AV151" s="81">
        <v>0.4828</v>
      </c>
      <c r="AW151" s="81">
        <v>0.6496</v>
      </c>
      <c r="AX151" s="81">
        <v>0.4955</v>
      </c>
      <c r="AY151" s="81">
        <v>0.425</v>
      </c>
      <c r="AZ151" s="81">
        <v>0.3571</v>
      </c>
      <c r="BA151" s="81">
        <v>0.3888888888888889</v>
      </c>
      <c r="BB151" s="81">
        <v>0.4386</v>
      </c>
      <c r="BC151" s="60">
        <f>AVERAGE(O151:P151)</f>
        <v>0.5235000000000001</v>
      </c>
      <c r="BD151" s="60">
        <f>AVERAGE(Q151:R151)</f>
        <v>0.33089999999999997</v>
      </c>
      <c r="BE151" s="60">
        <f>AVERAGE(S151:T151)</f>
        <v>0.48</v>
      </c>
      <c r="BF151" s="60">
        <f>AVERAGE(U151:V151)</f>
        <v>0.36605</v>
      </c>
      <c r="BG151" s="62">
        <f>AVERAGE(W151:X151)</f>
        <v>0.5442</v>
      </c>
      <c r="BH151" s="62">
        <f>(Z151+Y151)/2</f>
        <v>0.41390000000000005</v>
      </c>
      <c r="BI151" s="62">
        <f>AVERAGE(AA151:AB151)</f>
        <v>0.36729999999999996</v>
      </c>
      <c r="BJ151" s="62">
        <f t="shared" si="38"/>
        <v>0.57995</v>
      </c>
      <c r="BK151" s="62">
        <f t="shared" si="39"/>
        <v>0.5182</v>
      </c>
      <c r="BL151" s="62">
        <f t="shared" si="40"/>
        <v>0.6315500000000001</v>
      </c>
      <c r="BM151" s="62">
        <f t="shared" si="41"/>
        <v>0.62225</v>
      </c>
      <c r="BN151" s="62">
        <f t="shared" si="42"/>
        <v>0.47825</v>
      </c>
      <c r="BO151" s="62">
        <f t="shared" si="43"/>
        <v>0.38095</v>
      </c>
      <c r="BP151" s="62">
        <f t="shared" si="43"/>
        <v>0.39785</v>
      </c>
      <c r="BQ151" s="62">
        <f t="shared" si="43"/>
        <v>0.4173</v>
      </c>
      <c r="BR151" s="62">
        <f t="shared" si="43"/>
        <v>0.49625</v>
      </c>
      <c r="BS151" s="62">
        <f t="shared" si="43"/>
        <v>0.44075</v>
      </c>
      <c r="BT151" s="62">
        <f t="shared" si="43"/>
        <v>0.35619999999999996</v>
      </c>
      <c r="BU151" s="62">
        <f t="shared" si="44"/>
        <v>0.39105</v>
      </c>
      <c r="BV151" s="62">
        <f t="shared" si="45"/>
        <v>0.41374444444444447</v>
      </c>
      <c r="BW151" s="61">
        <v>613</v>
      </c>
      <c r="BX151" s="54">
        <v>712</v>
      </c>
      <c r="BY151" s="54">
        <v>780</v>
      </c>
      <c r="BZ151" s="54">
        <v>863</v>
      </c>
      <c r="CA151" s="54">
        <v>877</v>
      </c>
      <c r="CB151" s="54">
        <v>834</v>
      </c>
      <c r="CC151" s="54">
        <v>812</v>
      </c>
      <c r="CD151" s="44">
        <v>792</v>
      </c>
      <c r="CE151" s="54">
        <v>715</v>
      </c>
      <c r="CF151" s="54">
        <v>675</v>
      </c>
      <c r="CG151" s="54">
        <f>580+120</f>
        <v>700</v>
      </c>
      <c r="CH151" s="54">
        <f>648+119</f>
        <v>767</v>
      </c>
      <c r="CI151" s="54">
        <f>710+119</f>
        <v>829</v>
      </c>
      <c r="CJ151" s="54">
        <f>806+115</f>
        <v>921</v>
      </c>
      <c r="CK151" s="54">
        <f>863+121</f>
        <v>984</v>
      </c>
      <c r="CL151" s="54">
        <f>851+128</f>
        <v>979</v>
      </c>
      <c r="CM151" s="54">
        <f>817+121</f>
        <v>938</v>
      </c>
      <c r="CN151" s="54">
        <f>799+122</f>
        <v>921</v>
      </c>
      <c r="CO151" s="54">
        <f>871+120</f>
        <v>991</v>
      </c>
      <c r="CP151" s="54">
        <v>1048</v>
      </c>
      <c r="CQ151" s="54">
        <v>980</v>
      </c>
      <c r="CR151" s="55">
        <v>0.8</v>
      </c>
      <c r="CS151" s="55">
        <v>0.8</v>
      </c>
      <c r="CT151" s="55">
        <v>0.85</v>
      </c>
      <c r="CU151" s="55">
        <v>0.89</v>
      </c>
      <c r="CV151" s="55">
        <v>0.87</v>
      </c>
      <c r="CW151" s="64">
        <v>0.91</v>
      </c>
      <c r="CX151" s="64">
        <v>0.89</v>
      </c>
      <c r="CY151" s="55">
        <v>0.89</v>
      </c>
      <c r="CZ151" s="55">
        <v>0.92</v>
      </c>
      <c r="DA151" s="55">
        <v>0.85</v>
      </c>
      <c r="DB151" s="55">
        <v>0.95</v>
      </c>
      <c r="DC151" s="55">
        <v>0.88</v>
      </c>
      <c r="DD151" s="55">
        <v>0.92</v>
      </c>
      <c r="DE151" s="55">
        <v>0.86</v>
      </c>
      <c r="DF151" s="55">
        <v>0.91</v>
      </c>
      <c r="DG151" s="55">
        <v>0.93</v>
      </c>
      <c r="DH151" s="55">
        <v>0.89</v>
      </c>
      <c r="DI151" s="55">
        <v>0.86</v>
      </c>
      <c r="DJ151" s="55">
        <v>0.8918918918918919</v>
      </c>
      <c r="DK151" s="55">
        <v>0.875</v>
      </c>
      <c r="DL151" s="55">
        <v>0.89</v>
      </c>
      <c r="DM151" s="55">
        <v>0.87</v>
      </c>
      <c r="DN151" s="55">
        <v>0.95</v>
      </c>
      <c r="DO151" s="55">
        <v>0.85</v>
      </c>
      <c r="DP151" s="55">
        <v>0.826530612244898</v>
      </c>
      <c r="DQ151" s="55">
        <v>0.8015873015873016</v>
      </c>
      <c r="DR151" s="55">
        <v>0.8771929824561403</v>
      </c>
      <c r="DS151" s="55">
        <v>0.84</v>
      </c>
      <c r="DT151" s="55">
        <v>0.89</v>
      </c>
      <c r="DU151" s="55">
        <v>0.91</v>
      </c>
      <c r="DV151" s="55">
        <v>0.9</v>
      </c>
      <c r="DW151" s="55">
        <v>0.8956521739130435</v>
      </c>
      <c r="DX151" s="55">
        <v>0.91</v>
      </c>
      <c r="DY151" s="122"/>
      <c r="DZ151" s="122"/>
      <c r="EA151" s="124">
        <v>0.689</v>
      </c>
      <c r="EB151" s="124">
        <v>0.962</v>
      </c>
      <c r="EC151" s="122">
        <v>0.713</v>
      </c>
      <c r="ED151" s="122">
        <v>1</v>
      </c>
      <c r="EE151" s="124">
        <v>0.797</v>
      </c>
      <c r="EF151" s="124">
        <v>0.955</v>
      </c>
      <c r="EG151" s="122">
        <v>0.59</v>
      </c>
      <c r="EH151" s="122">
        <v>0.836</v>
      </c>
      <c r="EI151" s="124">
        <v>0.844</v>
      </c>
      <c r="EJ151" s="124">
        <v>0.89</v>
      </c>
      <c r="EK151" s="122">
        <v>0.696</v>
      </c>
      <c r="EL151" s="122">
        <v>0.714</v>
      </c>
      <c r="EM151" s="124">
        <v>0.724</v>
      </c>
      <c r="EN151" s="124">
        <v>0.948</v>
      </c>
      <c r="EO151" s="122">
        <v>0.708</v>
      </c>
      <c r="EP151" s="122">
        <v>0.934</v>
      </c>
      <c r="EQ151" s="124">
        <v>0.684</v>
      </c>
      <c r="ER151" s="124">
        <v>0.951</v>
      </c>
      <c r="ES151" s="122">
        <v>0.703</v>
      </c>
      <c r="ET151" s="122">
        <v>0.976</v>
      </c>
      <c r="EU151" s="124">
        <v>0.73</v>
      </c>
      <c r="EV151" s="124">
        <v>0.942</v>
      </c>
      <c r="EW151" s="122">
        <v>0.658</v>
      </c>
      <c r="EX151" s="122">
        <v>1</v>
      </c>
      <c r="EY151" s="124">
        <v>0.621</v>
      </c>
      <c r="EZ151" s="124">
        <v>1</v>
      </c>
      <c r="FA151" s="122">
        <v>0.573</v>
      </c>
      <c r="FB151" s="122">
        <v>0.882</v>
      </c>
      <c r="FC151" s="124">
        <v>0.053</v>
      </c>
      <c r="FD151" s="124">
        <v>0.94</v>
      </c>
      <c r="FE151" s="122">
        <v>0.04</v>
      </c>
      <c r="FF151" s="122">
        <v>0.706</v>
      </c>
      <c r="FG151" s="124">
        <v>0.016</v>
      </c>
      <c r="FH151" s="124">
        <v>0.406</v>
      </c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  <c r="GM151" s="57"/>
      <c r="GN151" s="57"/>
      <c r="GO151" s="57"/>
      <c r="GP151" s="57"/>
      <c r="GQ151" s="57"/>
      <c r="GR151" s="57"/>
      <c r="GS151" s="57"/>
      <c r="GT151" s="57"/>
      <c r="GU151" s="57"/>
      <c r="GV151" s="57"/>
      <c r="GW151" s="57"/>
      <c r="GX151" s="57"/>
      <c r="GY151" s="57"/>
      <c r="GZ151" s="57"/>
      <c r="HA151" s="57"/>
      <c r="HB151" s="57"/>
      <c r="HC151" s="57"/>
      <c r="HD151" s="57"/>
      <c r="HE151" s="57"/>
      <c r="HF151" s="57"/>
      <c r="HG151" s="57"/>
      <c r="HH151" s="57"/>
      <c r="HI151" s="57"/>
      <c r="HJ151" s="57"/>
      <c r="HK151" s="57"/>
      <c r="HL151" s="57"/>
      <c r="HM151" s="57"/>
      <c r="HN151" s="57"/>
      <c r="HO151" s="57"/>
      <c r="HP151" s="57"/>
      <c r="HQ151" s="57"/>
      <c r="HR151" s="57"/>
      <c r="HS151" s="57"/>
      <c r="HT151" s="57"/>
      <c r="HU151" s="57"/>
      <c r="HV151" s="57"/>
      <c r="HW151" s="57"/>
      <c r="HX151" s="57"/>
      <c r="HY151" s="57"/>
      <c r="HZ151" s="57"/>
      <c r="IA151" s="57"/>
      <c r="IB151" s="57"/>
      <c r="IC151" s="57"/>
      <c r="ID151" s="57"/>
      <c r="IE151" s="57"/>
      <c r="IF151" s="57"/>
      <c r="IG151" s="57"/>
      <c r="IH151" s="57"/>
      <c r="II151" s="57"/>
      <c r="IJ151" s="57"/>
      <c r="IK151" s="57"/>
      <c r="IL151" s="57"/>
      <c r="IM151" s="57"/>
      <c r="IN151" s="57"/>
      <c r="IO151" s="57"/>
      <c r="IP151" s="57"/>
      <c r="IQ151" s="57"/>
      <c r="IR151" s="57"/>
      <c r="IS151" s="57"/>
      <c r="IT151" s="57"/>
      <c r="IU151" s="57"/>
      <c r="IV151" s="57"/>
    </row>
    <row r="152" spans="1:256" s="58" customFormat="1" ht="12.75">
      <c r="A152" s="47" t="s">
        <v>26</v>
      </c>
      <c r="B152" s="47" t="s">
        <v>313</v>
      </c>
      <c r="C152" s="39" t="s">
        <v>11</v>
      </c>
      <c r="D152" s="39">
        <v>5101600013</v>
      </c>
      <c r="E152" s="39">
        <v>533507321</v>
      </c>
      <c r="F152" s="26" t="s">
        <v>101</v>
      </c>
      <c r="G152" s="10" t="s">
        <v>318</v>
      </c>
      <c r="H152" s="10" t="s">
        <v>65</v>
      </c>
      <c r="I152" s="10" t="s">
        <v>166</v>
      </c>
      <c r="J152" s="10" t="s">
        <v>172</v>
      </c>
      <c r="K152" s="61">
        <v>1</v>
      </c>
      <c r="L152" s="75" t="s">
        <v>22</v>
      </c>
      <c r="M152" s="62" t="s">
        <v>21</v>
      </c>
      <c r="N152" s="62"/>
      <c r="O152" s="76"/>
      <c r="P152" s="76"/>
      <c r="Q152" s="76"/>
      <c r="R152" s="76"/>
      <c r="S152" s="76"/>
      <c r="T152" s="76"/>
      <c r="U152" s="76"/>
      <c r="V152" s="76"/>
      <c r="W152" s="60">
        <v>0.3922</v>
      </c>
      <c r="X152" s="62">
        <v>0.4737</v>
      </c>
      <c r="Y152" s="62">
        <v>0.4906</v>
      </c>
      <c r="Z152" s="62">
        <v>0.5088</v>
      </c>
      <c r="AA152" s="62">
        <v>0.4117647058823529</v>
      </c>
      <c r="AB152" s="62">
        <v>0.6275</v>
      </c>
      <c r="AC152" s="62">
        <v>0.3684</v>
      </c>
      <c r="AD152" s="62">
        <v>0.5352</v>
      </c>
      <c r="AE152" s="62">
        <v>0.3225806451612903</v>
      </c>
      <c r="AF152" s="62">
        <v>0.5591</v>
      </c>
      <c r="AG152" s="62">
        <v>0.4571</v>
      </c>
      <c r="AH152" s="62">
        <v>0.6268656716417911</v>
      </c>
      <c r="AI152" s="62">
        <v>0.5</v>
      </c>
      <c r="AJ152" s="62">
        <v>0.5897435897435898</v>
      </c>
      <c r="AK152" s="80">
        <v>0.5584</v>
      </c>
      <c r="AL152" s="62">
        <v>0.5949</v>
      </c>
      <c r="AM152" s="62">
        <v>0.5443</v>
      </c>
      <c r="AN152" s="62">
        <v>0.5454545454545454</v>
      </c>
      <c r="AO152" s="62">
        <v>0.30666666666666664</v>
      </c>
      <c r="AP152" s="81">
        <v>0.4872</v>
      </c>
      <c r="AQ152" s="81">
        <v>0.49572649572649574</v>
      </c>
      <c r="AR152" s="81">
        <v>0.42342342342342343</v>
      </c>
      <c r="AS152" s="81">
        <v>0.3949579831932773</v>
      </c>
      <c r="AT152" s="81">
        <v>0.4444444444444444</v>
      </c>
      <c r="AU152" s="81">
        <v>0.43636363636363634</v>
      </c>
      <c r="AV152" s="81">
        <v>0.6173913043478261</v>
      </c>
      <c r="AW152" s="81">
        <v>0.3729</v>
      </c>
      <c r="AX152" s="81">
        <v>0.5472</v>
      </c>
      <c r="AY152" s="81">
        <v>0.38</v>
      </c>
      <c r="AZ152" s="81">
        <v>0.4414</v>
      </c>
      <c r="BA152" s="81">
        <v>0.6373626373626373</v>
      </c>
      <c r="BB152" s="81">
        <v>0.5702</v>
      </c>
      <c r="BC152" s="60"/>
      <c r="BD152" s="60"/>
      <c r="BE152" s="60"/>
      <c r="BF152" s="60"/>
      <c r="BG152" s="62">
        <f>AVERAGE(W152:X152)</f>
        <v>0.43295</v>
      </c>
      <c r="BH152" s="62">
        <f>(Z152+Y152)/2</f>
        <v>0.49970000000000003</v>
      </c>
      <c r="BI152" s="62">
        <f>AVERAGE(AA152:AB152)</f>
        <v>0.5196323529411764</v>
      </c>
      <c r="BJ152" s="62">
        <f t="shared" si="38"/>
        <v>0.4518</v>
      </c>
      <c r="BK152" s="62">
        <f t="shared" si="39"/>
        <v>0.4408403225806452</v>
      </c>
      <c r="BL152" s="62">
        <f t="shared" si="40"/>
        <v>0.5419828358208956</v>
      </c>
      <c r="BM152" s="62">
        <f t="shared" si="41"/>
        <v>0.5448717948717949</v>
      </c>
      <c r="BN152" s="62">
        <f t="shared" si="42"/>
        <v>0.57665</v>
      </c>
      <c r="BO152" s="62">
        <f t="shared" si="43"/>
        <v>0.5448772727272727</v>
      </c>
      <c r="BP152" s="62">
        <f t="shared" si="43"/>
        <v>0.42606060606060603</v>
      </c>
      <c r="BQ152" s="62">
        <f t="shared" si="43"/>
        <v>0.39693333333333336</v>
      </c>
      <c r="BR152" s="62">
        <f t="shared" si="43"/>
        <v>0.4914632478632479</v>
      </c>
      <c r="BS152" s="62">
        <f t="shared" si="43"/>
        <v>0.4595749595749596</v>
      </c>
      <c r="BT152" s="62">
        <f t="shared" si="43"/>
        <v>0.4091907033083504</v>
      </c>
      <c r="BU152" s="62">
        <f t="shared" si="44"/>
        <v>0.4107</v>
      </c>
      <c r="BV152" s="62">
        <f t="shared" si="45"/>
        <v>0.6037813186813187</v>
      </c>
      <c r="BW152" s="61">
        <v>51</v>
      </c>
      <c r="BX152" s="54">
        <v>215</v>
      </c>
      <c r="BY152" s="54">
        <v>343</v>
      </c>
      <c r="BZ152" s="54">
        <v>463</v>
      </c>
      <c r="CA152" s="54">
        <v>687</v>
      </c>
      <c r="CB152" s="54">
        <v>706</v>
      </c>
      <c r="CC152" s="54">
        <v>713</v>
      </c>
      <c r="CD152" s="44">
        <v>692</v>
      </c>
      <c r="CE152" s="54">
        <v>711</v>
      </c>
      <c r="CF152" s="54">
        <v>688</v>
      </c>
      <c r="CG152" s="54">
        <f>597+119</f>
        <v>716</v>
      </c>
      <c r="CH152" s="54">
        <f>675+117</f>
        <v>792</v>
      </c>
      <c r="CI152" s="54">
        <f>718+115</f>
        <v>833</v>
      </c>
      <c r="CJ152" s="54">
        <f>748+109</f>
        <v>857</v>
      </c>
      <c r="CK152" s="54">
        <f>829+111</f>
        <v>940</v>
      </c>
      <c r="CL152" s="54">
        <f>840+101</f>
        <v>941</v>
      </c>
      <c r="CM152" s="54">
        <f>823+120</f>
        <v>943</v>
      </c>
      <c r="CN152" s="54">
        <f>802+127</f>
        <v>929</v>
      </c>
      <c r="CO152" s="54">
        <f>810+114</f>
        <v>924</v>
      </c>
      <c r="CP152" s="54">
        <v>891</v>
      </c>
      <c r="CQ152" s="54">
        <v>734</v>
      </c>
      <c r="CR152" s="55">
        <v>0.88</v>
      </c>
      <c r="CS152" s="55">
        <v>0.92</v>
      </c>
      <c r="CT152" s="55">
        <v>1</v>
      </c>
      <c r="CU152" s="55">
        <v>0.82</v>
      </c>
      <c r="CV152" s="55">
        <v>0.9</v>
      </c>
      <c r="CW152" s="64">
        <v>0.8</v>
      </c>
      <c r="CX152" s="64">
        <v>0.82</v>
      </c>
      <c r="CY152" s="55">
        <v>0.83</v>
      </c>
      <c r="CZ152" s="55">
        <v>0.86</v>
      </c>
      <c r="DA152" s="55">
        <v>0.88</v>
      </c>
      <c r="DB152" s="55">
        <v>0.89</v>
      </c>
      <c r="DC152" s="55">
        <v>0.87</v>
      </c>
      <c r="DD152" s="55">
        <v>0.87</v>
      </c>
      <c r="DE152" s="55">
        <v>0.76</v>
      </c>
      <c r="DF152" s="55">
        <v>0.9</v>
      </c>
      <c r="DG152" s="55">
        <v>0.82</v>
      </c>
      <c r="DH152" s="55">
        <v>0.89</v>
      </c>
      <c r="DI152" s="55">
        <v>0.76</v>
      </c>
      <c r="DJ152" s="55">
        <v>0.79</v>
      </c>
      <c r="DK152" s="55">
        <v>0.8090909090909091</v>
      </c>
      <c r="DL152" s="55">
        <v>0.82</v>
      </c>
      <c r="DM152" s="55">
        <v>0.82</v>
      </c>
      <c r="DN152" s="55">
        <v>0.88</v>
      </c>
      <c r="DO152" s="55">
        <v>0.85</v>
      </c>
      <c r="DP152" s="55">
        <v>0.7387387387387387</v>
      </c>
      <c r="DQ152" s="55">
        <v>0.8021978021978022</v>
      </c>
      <c r="DR152" s="55">
        <v>0.7982456140350878</v>
      </c>
      <c r="DS152" s="55">
        <v>0.68</v>
      </c>
      <c r="DT152" s="55">
        <v>0.8</v>
      </c>
      <c r="DU152" s="55">
        <v>0.71</v>
      </c>
      <c r="DV152" s="55">
        <v>0.73</v>
      </c>
      <c r="DW152" s="55">
        <v>0.7087378640776699</v>
      </c>
      <c r="DX152" s="55">
        <v>0.84</v>
      </c>
      <c r="DY152" s="122">
        <v>0.65</v>
      </c>
      <c r="DZ152" s="122">
        <v>1</v>
      </c>
      <c r="EA152" s="124">
        <v>0.705</v>
      </c>
      <c r="EB152" s="124">
        <v>1</v>
      </c>
      <c r="EC152" s="122">
        <v>0.61</v>
      </c>
      <c r="ED152" s="122">
        <v>0.855</v>
      </c>
      <c r="EE152" s="124">
        <v>0.759</v>
      </c>
      <c r="EF152" s="124">
        <v>0.968</v>
      </c>
      <c r="EG152" s="122">
        <v>0.722</v>
      </c>
      <c r="EH152" s="122">
        <v>0.95</v>
      </c>
      <c r="EI152" s="124">
        <v>0.636</v>
      </c>
      <c r="EJ152" s="124">
        <v>0.86</v>
      </c>
      <c r="EK152" s="122">
        <v>0.493</v>
      </c>
      <c r="EL152" s="122">
        <v>0.902</v>
      </c>
      <c r="EM152" s="124">
        <v>0.641</v>
      </c>
      <c r="EN152" s="124">
        <v>1</v>
      </c>
      <c r="EO152" s="122">
        <v>0.615</v>
      </c>
      <c r="EP152" s="122">
        <v>0.9</v>
      </c>
      <c r="EQ152" s="124">
        <v>0.595</v>
      </c>
      <c r="ER152" s="124">
        <v>1</v>
      </c>
      <c r="ES152" s="122">
        <v>0.529</v>
      </c>
      <c r="ET152" s="122">
        <v>0.913</v>
      </c>
      <c r="EU152" s="124">
        <v>0.65</v>
      </c>
      <c r="EV152" s="124">
        <v>1</v>
      </c>
      <c r="EW152" s="122">
        <v>0.518</v>
      </c>
      <c r="EX152" s="122">
        <v>0.877</v>
      </c>
      <c r="EY152" s="124">
        <v>0.643</v>
      </c>
      <c r="EZ152" s="124">
        <v>0.881</v>
      </c>
      <c r="FA152" s="122">
        <v>0.373</v>
      </c>
      <c r="FB152" s="122">
        <v>0.698</v>
      </c>
      <c r="FC152" s="124">
        <v>0.67</v>
      </c>
      <c r="FD152" s="124">
        <v>0.835</v>
      </c>
      <c r="FE152" s="122">
        <v>0.29</v>
      </c>
      <c r="FF152" s="122">
        <v>0.433</v>
      </c>
      <c r="FG152" s="124">
        <v>0.243</v>
      </c>
      <c r="FH152" s="124">
        <v>0.397</v>
      </c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  <c r="GM152" s="57"/>
      <c r="GN152" s="57"/>
      <c r="GO152" s="57"/>
      <c r="GP152" s="57"/>
      <c r="GQ152" s="57"/>
      <c r="GR152" s="57"/>
      <c r="GS152" s="57"/>
      <c r="GT152" s="57"/>
      <c r="GU152" s="57"/>
      <c r="GV152" s="57"/>
      <c r="GW152" s="57"/>
      <c r="GX152" s="57"/>
      <c r="GY152" s="57"/>
      <c r="GZ152" s="57"/>
      <c r="HA152" s="57"/>
      <c r="HB152" s="57"/>
      <c r="HC152" s="57"/>
      <c r="HD152" s="57"/>
      <c r="HE152" s="57"/>
      <c r="HF152" s="57"/>
      <c r="HG152" s="57"/>
      <c r="HH152" s="57"/>
      <c r="HI152" s="57"/>
      <c r="HJ152" s="57"/>
      <c r="HK152" s="57"/>
      <c r="HL152" s="57"/>
      <c r="HM152" s="57"/>
      <c r="HN152" s="57"/>
      <c r="HO152" s="57"/>
      <c r="HP152" s="57"/>
      <c r="HQ152" s="57"/>
      <c r="HR152" s="57"/>
      <c r="HS152" s="57"/>
      <c r="HT152" s="57"/>
      <c r="HU152" s="57"/>
      <c r="HV152" s="57"/>
      <c r="HW152" s="57"/>
      <c r="HX152" s="57"/>
      <c r="HY152" s="57"/>
      <c r="HZ152" s="57"/>
      <c r="IA152" s="57"/>
      <c r="IB152" s="57"/>
      <c r="IC152" s="57"/>
      <c r="ID152" s="57"/>
      <c r="IE152" s="57"/>
      <c r="IF152" s="57"/>
      <c r="IG152" s="57"/>
      <c r="IH152" s="57"/>
      <c r="II152" s="57"/>
      <c r="IJ152" s="57"/>
      <c r="IK152" s="57"/>
      <c r="IL152" s="57"/>
      <c r="IM152" s="57"/>
      <c r="IN152" s="57"/>
      <c r="IO152" s="57"/>
      <c r="IP152" s="57"/>
      <c r="IQ152" s="57"/>
      <c r="IR152" s="57"/>
      <c r="IS152" s="57"/>
      <c r="IT152" s="57"/>
      <c r="IU152" s="57"/>
      <c r="IV152" s="57"/>
    </row>
    <row r="153" spans="1:256" s="58" customFormat="1" ht="12.75">
      <c r="A153" s="47" t="s">
        <v>26</v>
      </c>
      <c r="B153" s="47" t="s">
        <v>313</v>
      </c>
      <c r="C153" s="39" t="s">
        <v>11</v>
      </c>
      <c r="D153" s="39">
        <v>5041200028</v>
      </c>
      <c r="E153" s="39">
        <v>533200028</v>
      </c>
      <c r="F153" s="26" t="s">
        <v>102</v>
      </c>
      <c r="G153" s="10" t="s">
        <v>318</v>
      </c>
      <c r="H153" s="10" t="s">
        <v>65</v>
      </c>
      <c r="I153" s="10" t="s">
        <v>166</v>
      </c>
      <c r="J153" s="10" t="s">
        <v>172</v>
      </c>
      <c r="K153" s="61">
        <v>1</v>
      </c>
      <c r="L153" s="75" t="s">
        <v>22</v>
      </c>
      <c r="M153" s="62" t="s">
        <v>21</v>
      </c>
      <c r="N153" s="62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62">
        <v>0.7634</v>
      </c>
      <c r="AC153" s="62">
        <v>0.4896</v>
      </c>
      <c r="AD153" s="62">
        <v>0.6828</v>
      </c>
      <c r="AE153" s="62">
        <v>0.5164835164835165</v>
      </c>
      <c r="AF153" s="62">
        <v>0.6526</v>
      </c>
      <c r="AG153" s="62">
        <v>0.5974</v>
      </c>
      <c r="AH153" s="62">
        <v>0.7013</v>
      </c>
      <c r="AI153" s="62">
        <v>0.6923076923076923</v>
      </c>
      <c r="AJ153" s="62">
        <v>0.6710526315789473</v>
      </c>
      <c r="AK153" s="80">
        <v>0.6538461538461539</v>
      </c>
      <c r="AL153" s="62">
        <v>0.6024096385542169</v>
      </c>
      <c r="AM153" s="62">
        <v>0.620253164556962</v>
      </c>
      <c r="AN153" s="62">
        <v>0.6842105263157895</v>
      </c>
      <c r="AO153" s="62">
        <v>0.48717948717948717</v>
      </c>
      <c r="AP153" s="81">
        <v>0.6708860759493671</v>
      </c>
      <c r="AQ153" s="81">
        <v>0.5042735042735043</v>
      </c>
      <c r="AR153" s="96">
        <v>0.5495495495495496</v>
      </c>
      <c r="AS153" s="96">
        <v>0.6696428571428571</v>
      </c>
      <c r="AT153" s="96">
        <v>0.05405405405405406</v>
      </c>
      <c r="AU153" s="96">
        <v>0.39759036144578314</v>
      </c>
      <c r="AV153" s="96">
        <v>0.5726495726495726</v>
      </c>
      <c r="AW153" s="96">
        <v>0.4382</v>
      </c>
      <c r="AX153" s="96">
        <v>0.6019</v>
      </c>
      <c r="AY153" s="96">
        <v>0.521</v>
      </c>
      <c r="AZ153" s="96">
        <v>0.4336</v>
      </c>
      <c r="BA153" s="96">
        <v>0.5555555555555556</v>
      </c>
      <c r="BB153" s="96">
        <v>0.6216</v>
      </c>
      <c r="BC153" s="60"/>
      <c r="BD153" s="60"/>
      <c r="BE153" s="60"/>
      <c r="BF153" s="60"/>
      <c r="BG153" s="62"/>
      <c r="BH153" s="62"/>
      <c r="BI153" s="62"/>
      <c r="BJ153" s="62">
        <f t="shared" si="38"/>
        <v>0.5861999999999999</v>
      </c>
      <c r="BK153" s="62">
        <f t="shared" si="39"/>
        <v>0.5845417582417582</v>
      </c>
      <c r="BL153" s="62">
        <f t="shared" si="40"/>
        <v>0.6493500000000001</v>
      </c>
      <c r="BM153" s="62">
        <f t="shared" si="41"/>
        <v>0.6816801619433198</v>
      </c>
      <c r="BN153" s="62">
        <f t="shared" si="42"/>
        <v>0.6281278962001854</v>
      </c>
      <c r="BO153" s="62">
        <f t="shared" si="43"/>
        <v>0.6522318454363758</v>
      </c>
      <c r="BP153" s="62">
        <f t="shared" si="43"/>
        <v>0.5856950067476383</v>
      </c>
      <c r="BQ153" s="62">
        <f t="shared" si="43"/>
        <v>0.5790327815644272</v>
      </c>
      <c r="BR153" s="62">
        <f t="shared" si="43"/>
        <v>0.5875797901114357</v>
      </c>
      <c r="BS153" s="62">
        <f t="shared" si="43"/>
        <v>0.526911526911527</v>
      </c>
      <c r="BT153" s="62">
        <f t="shared" si="43"/>
        <v>0.6095962033462033</v>
      </c>
      <c r="BU153" s="62">
        <f t="shared" si="44"/>
        <v>0.4773</v>
      </c>
      <c r="BV153" s="62">
        <f t="shared" si="45"/>
        <v>0.5885777777777779</v>
      </c>
      <c r="BW153" s="78"/>
      <c r="BX153" s="78"/>
      <c r="BY153" s="78"/>
      <c r="BZ153" s="54">
        <v>198</v>
      </c>
      <c r="CA153" s="54">
        <v>391</v>
      </c>
      <c r="CB153" s="54">
        <v>496</v>
      </c>
      <c r="CC153" s="54">
        <v>617</v>
      </c>
      <c r="CD153" s="44">
        <v>745</v>
      </c>
      <c r="CE153" s="54">
        <v>765</v>
      </c>
      <c r="CF153" s="54">
        <v>744</v>
      </c>
      <c r="CG153" s="54">
        <f>646+116</f>
        <v>762</v>
      </c>
      <c r="CH153" s="54">
        <f>702+112</f>
        <v>814</v>
      </c>
      <c r="CI153" s="54">
        <f>744+84</f>
        <v>828</v>
      </c>
      <c r="CJ153" s="54">
        <f>755+91</f>
        <v>846</v>
      </c>
      <c r="CK153" s="54">
        <f>790+121</f>
        <v>911</v>
      </c>
      <c r="CL153" s="54">
        <f>822+111</f>
        <v>933</v>
      </c>
      <c r="CM153" s="54">
        <f>785+119</f>
        <v>904</v>
      </c>
      <c r="CN153" s="54">
        <f>817+127</f>
        <v>944</v>
      </c>
      <c r="CO153" s="54">
        <f>844+121</f>
        <v>965</v>
      </c>
      <c r="CP153" s="54">
        <v>975</v>
      </c>
      <c r="CQ153" s="54">
        <v>865</v>
      </c>
      <c r="CR153" s="76"/>
      <c r="CS153" s="76"/>
      <c r="CT153" s="55">
        <v>0.84</v>
      </c>
      <c r="CU153" s="55">
        <v>0.76</v>
      </c>
      <c r="CV153" s="55">
        <v>0.83</v>
      </c>
      <c r="CW153" s="64">
        <v>0.86</v>
      </c>
      <c r="CX153" s="64">
        <v>0.87</v>
      </c>
      <c r="CY153" s="55">
        <v>0.88</v>
      </c>
      <c r="CZ153" s="55">
        <v>0.99</v>
      </c>
      <c r="DA153" s="55">
        <v>0.9358974358974359</v>
      </c>
      <c r="DB153" s="55">
        <v>0.95</v>
      </c>
      <c r="DC153" s="55">
        <v>0.92</v>
      </c>
      <c r="DD153" s="55">
        <v>0.87</v>
      </c>
      <c r="DE153" s="55">
        <v>0.91</v>
      </c>
      <c r="DF153" s="55">
        <v>0.87</v>
      </c>
      <c r="DG153" s="55">
        <v>0.86</v>
      </c>
      <c r="DH153" s="55">
        <v>0.91</v>
      </c>
      <c r="DI153" s="55">
        <v>0.82</v>
      </c>
      <c r="DJ153" s="55">
        <v>0.91</v>
      </c>
      <c r="DK153" s="55">
        <v>0.7228915662650602</v>
      </c>
      <c r="DL153" s="55">
        <v>0.89</v>
      </c>
      <c r="DM153" s="55">
        <v>0.87</v>
      </c>
      <c r="DN153" s="55">
        <v>0.89</v>
      </c>
      <c r="DO153" s="55">
        <v>0.9304347826086956</v>
      </c>
      <c r="DP153" s="55">
        <v>0.7807017543859649</v>
      </c>
      <c r="DQ153" s="55">
        <v>0.8055555555555556</v>
      </c>
      <c r="DR153" s="55">
        <v>0.8545454545454545</v>
      </c>
      <c r="DS153" s="55">
        <v>0.69</v>
      </c>
      <c r="DT153" s="55">
        <v>0.83</v>
      </c>
      <c r="DU153" s="55">
        <v>0.86</v>
      </c>
      <c r="DV153" s="55">
        <v>0.83</v>
      </c>
      <c r="DW153" s="55">
        <v>0.8407079646017699</v>
      </c>
      <c r="DX153" s="55">
        <v>0.86</v>
      </c>
      <c r="DY153" s="122">
        <v>0.705</v>
      </c>
      <c r="DZ153" s="122">
        <v>0.932</v>
      </c>
      <c r="EA153" s="124">
        <v>0.803</v>
      </c>
      <c r="EB153" s="124">
        <v>0.968</v>
      </c>
      <c r="EC153" s="122">
        <v>0.795</v>
      </c>
      <c r="ED153" s="122">
        <v>0.925</v>
      </c>
      <c r="EE153" s="124">
        <v>0.795</v>
      </c>
      <c r="EF153" s="124">
        <v>0.985</v>
      </c>
      <c r="EG153" s="122">
        <v>0.747</v>
      </c>
      <c r="EH153" s="122">
        <v>0.922</v>
      </c>
      <c r="EI153" s="124">
        <v>0.724</v>
      </c>
      <c r="EJ153" s="124">
        <v>0.917</v>
      </c>
      <c r="EK153" s="122">
        <v>0.615</v>
      </c>
      <c r="EL153" s="122">
        <v>0.889</v>
      </c>
      <c r="EM153" s="124">
        <v>0.744</v>
      </c>
      <c r="EN153" s="124">
        <v>0.983</v>
      </c>
      <c r="EO153" s="122">
        <v>0.547</v>
      </c>
      <c r="EP153" s="122">
        <v>0.901</v>
      </c>
      <c r="EQ153" s="124">
        <v>0.679</v>
      </c>
      <c r="ER153" s="124">
        <v>0.911</v>
      </c>
      <c r="ES153" s="122">
        <v>0.633</v>
      </c>
      <c r="ET153" s="122">
        <v>0.92</v>
      </c>
      <c r="EU153" s="124">
        <v>0.116</v>
      </c>
      <c r="EV153" s="124">
        <v>1</v>
      </c>
      <c r="EW153" s="122">
        <v>0.229</v>
      </c>
      <c r="EX153" s="122">
        <v>0.442</v>
      </c>
      <c r="EY153" s="124">
        <v>0.556</v>
      </c>
      <c r="EZ153" s="124">
        <v>0.793</v>
      </c>
      <c r="FA153" s="122">
        <v>0.27</v>
      </c>
      <c r="FB153" s="122">
        <v>0.436</v>
      </c>
      <c r="FC153" s="124">
        <v>0.565</v>
      </c>
      <c r="FD153" s="124">
        <v>0.753</v>
      </c>
      <c r="FE153" s="122">
        <v>0.176</v>
      </c>
      <c r="FF153" s="122">
        <v>0.25</v>
      </c>
      <c r="FG153" s="124">
        <v>0.124</v>
      </c>
      <c r="FH153" s="124">
        <v>0.192</v>
      </c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57"/>
      <c r="GT153" s="57"/>
      <c r="GU153" s="57"/>
      <c r="GV153" s="57"/>
      <c r="GW153" s="57"/>
      <c r="GX153" s="57"/>
      <c r="GY153" s="57"/>
      <c r="GZ153" s="57"/>
      <c r="HA153" s="57"/>
      <c r="HB153" s="57"/>
      <c r="HC153" s="57"/>
      <c r="HD153" s="57"/>
      <c r="HE153" s="57"/>
      <c r="HF153" s="57"/>
      <c r="HG153" s="57"/>
      <c r="HH153" s="57"/>
      <c r="HI153" s="57"/>
      <c r="HJ153" s="57"/>
      <c r="HK153" s="57"/>
      <c r="HL153" s="57"/>
      <c r="HM153" s="57"/>
      <c r="HN153" s="57"/>
      <c r="HO153" s="57"/>
      <c r="HP153" s="57"/>
      <c r="HQ153" s="57"/>
      <c r="HR153" s="57"/>
      <c r="HS153" s="57"/>
      <c r="HT153" s="57"/>
      <c r="HU153" s="57"/>
      <c r="HV153" s="57"/>
      <c r="HW153" s="57"/>
      <c r="HX153" s="57"/>
      <c r="HY153" s="57"/>
      <c r="HZ153" s="57"/>
      <c r="IA153" s="57"/>
      <c r="IB153" s="57"/>
      <c r="IC153" s="57"/>
      <c r="ID153" s="57"/>
      <c r="IE153" s="57"/>
      <c r="IF153" s="57"/>
      <c r="IG153" s="57"/>
      <c r="IH153" s="57"/>
      <c r="II153" s="57"/>
      <c r="IJ153" s="57"/>
      <c r="IK153" s="57"/>
      <c r="IL153" s="57"/>
      <c r="IM153" s="57"/>
      <c r="IN153" s="57"/>
      <c r="IO153" s="57"/>
      <c r="IP153" s="57"/>
      <c r="IQ153" s="57"/>
      <c r="IR153" s="57"/>
      <c r="IS153" s="57"/>
      <c r="IT153" s="57"/>
      <c r="IU153" s="57"/>
      <c r="IV153" s="57"/>
    </row>
    <row r="154" spans="1:256" s="58" customFormat="1" ht="12.75">
      <c r="A154" s="47" t="s">
        <v>26</v>
      </c>
      <c r="B154" s="47" t="s">
        <v>313</v>
      </c>
      <c r="C154" s="39" t="s">
        <v>11</v>
      </c>
      <c r="D154" s="39">
        <v>5101500006</v>
      </c>
      <c r="E154" s="39">
        <v>533508355</v>
      </c>
      <c r="F154" s="26" t="s">
        <v>103</v>
      </c>
      <c r="G154" s="10" t="s">
        <v>318</v>
      </c>
      <c r="H154" s="10" t="s">
        <v>65</v>
      </c>
      <c r="I154" s="10" t="s">
        <v>166</v>
      </c>
      <c r="J154" s="10" t="s">
        <v>172</v>
      </c>
      <c r="K154" s="61">
        <v>1</v>
      </c>
      <c r="L154" s="75" t="s">
        <v>22</v>
      </c>
      <c r="M154" s="62" t="s">
        <v>21</v>
      </c>
      <c r="N154" s="62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62">
        <v>0.47674418604651164</v>
      </c>
      <c r="AG154" s="62">
        <v>0.5066666666666667</v>
      </c>
      <c r="AH154" s="62">
        <v>0.2564102564102564</v>
      </c>
      <c r="AI154" s="62">
        <v>0.45569620253164556</v>
      </c>
      <c r="AJ154" s="62">
        <v>0.4939759036144578</v>
      </c>
      <c r="AK154" s="80">
        <v>0.5443037974683544</v>
      </c>
      <c r="AL154" s="62">
        <v>0.5128205128205128</v>
      </c>
      <c r="AM154" s="62">
        <v>0.3815789473684211</v>
      </c>
      <c r="AN154" s="62">
        <v>0.4805194805194805</v>
      </c>
      <c r="AO154" s="62">
        <v>0.4074074074074074</v>
      </c>
      <c r="AP154" s="81">
        <v>0.5324675324675324</v>
      </c>
      <c r="AQ154" s="81">
        <v>0.3790322580645161</v>
      </c>
      <c r="AR154" s="96">
        <v>0.41379310344827586</v>
      </c>
      <c r="AS154" s="96">
        <v>0.31932773109243695</v>
      </c>
      <c r="AT154" s="96">
        <v>0.5130434782608696</v>
      </c>
      <c r="AU154" s="96">
        <v>0.3661</v>
      </c>
      <c r="AV154" s="96">
        <v>0.7788</v>
      </c>
      <c r="AW154" s="96">
        <v>0.325</v>
      </c>
      <c r="AX154" s="96">
        <v>0.402</v>
      </c>
      <c r="AY154" s="96">
        <v>0.2941</v>
      </c>
      <c r="AZ154" s="96">
        <v>0.4312</v>
      </c>
      <c r="BA154" s="96">
        <v>0.40869565217391307</v>
      </c>
      <c r="BB154" s="96">
        <v>0.6606</v>
      </c>
      <c r="BC154" s="60"/>
      <c r="BD154" s="60"/>
      <c r="BE154" s="60"/>
      <c r="BF154" s="60"/>
      <c r="BG154" s="62"/>
      <c r="BH154" s="62"/>
      <c r="BI154" s="62"/>
      <c r="BJ154" s="62"/>
      <c r="BK154" s="62">
        <f t="shared" si="39"/>
        <v>0.47674418604651164</v>
      </c>
      <c r="BL154" s="62">
        <f t="shared" si="40"/>
        <v>0.38153846153846155</v>
      </c>
      <c r="BM154" s="62">
        <f t="shared" si="41"/>
        <v>0.47483605307305166</v>
      </c>
      <c r="BN154" s="62">
        <f t="shared" si="42"/>
        <v>0.5285621551444336</v>
      </c>
      <c r="BO154" s="62">
        <f t="shared" si="43"/>
        <v>0.4310492139439508</v>
      </c>
      <c r="BP154" s="62">
        <f t="shared" si="43"/>
        <v>0.44396344396344395</v>
      </c>
      <c r="BQ154" s="62">
        <f t="shared" si="43"/>
        <v>0.4699374699374699</v>
      </c>
      <c r="BR154" s="62">
        <f t="shared" si="43"/>
        <v>0.4557498952660243</v>
      </c>
      <c r="BS154" s="62">
        <f t="shared" si="43"/>
        <v>0.396412680756396</v>
      </c>
      <c r="BT154" s="62">
        <f t="shared" si="43"/>
        <v>0.3665604172703564</v>
      </c>
      <c r="BU154" s="62">
        <f t="shared" si="44"/>
        <v>0.36265000000000003</v>
      </c>
      <c r="BV154" s="62">
        <f t="shared" si="45"/>
        <v>0.5346478260869565</v>
      </c>
      <c r="BW154" s="78"/>
      <c r="BX154" s="78"/>
      <c r="BY154" s="78"/>
      <c r="BZ154" s="78"/>
      <c r="CA154" s="78"/>
      <c r="CB154" s="54">
        <v>168</v>
      </c>
      <c r="CC154" s="54">
        <v>309</v>
      </c>
      <c r="CD154" s="44">
        <v>446</v>
      </c>
      <c r="CE154" s="54">
        <v>551</v>
      </c>
      <c r="CF154" s="54">
        <v>660</v>
      </c>
      <c r="CG154" s="54">
        <f>624+125</f>
        <v>749</v>
      </c>
      <c r="CH154" s="54">
        <f>696+119</f>
        <v>815</v>
      </c>
      <c r="CI154" s="54">
        <f>741+113</f>
        <v>854</v>
      </c>
      <c r="CJ154" s="54">
        <f>792+118</f>
        <v>910</v>
      </c>
      <c r="CK154" s="54">
        <f>831+120</f>
        <v>951</v>
      </c>
      <c r="CL154" s="54">
        <f>854+125</f>
        <v>979</v>
      </c>
      <c r="CM154" s="54">
        <f>849+117</f>
        <v>966</v>
      </c>
      <c r="CN154" s="54">
        <f>844+125</f>
        <v>969</v>
      </c>
      <c r="CO154" s="54">
        <f>844+127</f>
        <v>971</v>
      </c>
      <c r="CP154" s="54">
        <v>999</v>
      </c>
      <c r="CQ154" s="54">
        <v>867</v>
      </c>
      <c r="CR154" s="76"/>
      <c r="CS154" s="76"/>
      <c r="CT154" s="76"/>
      <c r="CU154" s="76"/>
      <c r="CV154" s="55">
        <v>0.94</v>
      </c>
      <c r="CW154" s="64">
        <v>0.87</v>
      </c>
      <c r="CX154" s="64">
        <v>0.9</v>
      </c>
      <c r="CY154" s="55">
        <v>0.84</v>
      </c>
      <c r="CZ154" s="55">
        <v>0.83</v>
      </c>
      <c r="DA154" s="55">
        <v>0.89</v>
      </c>
      <c r="DB154" s="55">
        <v>0.92</v>
      </c>
      <c r="DC154" s="55">
        <v>0.86</v>
      </c>
      <c r="DD154" s="55">
        <v>0.96</v>
      </c>
      <c r="DE154" s="55">
        <v>0.85</v>
      </c>
      <c r="DF154" s="55">
        <v>0.83</v>
      </c>
      <c r="DG154" s="55">
        <v>0.76</v>
      </c>
      <c r="DH154" s="55">
        <v>0.84</v>
      </c>
      <c r="DI154" s="55">
        <v>0.87</v>
      </c>
      <c r="DJ154" s="55">
        <v>0.89</v>
      </c>
      <c r="DK154" s="55">
        <v>0.8053097345132744</v>
      </c>
      <c r="DL154" s="55">
        <v>0.85</v>
      </c>
      <c r="DM154" s="55">
        <v>0.78</v>
      </c>
      <c r="DN154" s="55">
        <v>0.59</v>
      </c>
      <c r="DO154" s="55">
        <v>0.9166666666666666</v>
      </c>
      <c r="DP154" s="55">
        <v>0.97</v>
      </c>
      <c r="DQ154" s="55">
        <v>0.57</v>
      </c>
      <c r="DR154" s="55">
        <v>0.6470588235294118</v>
      </c>
      <c r="DS154" s="55">
        <v>0.83</v>
      </c>
      <c r="DT154" s="55">
        <v>0.95</v>
      </c>
      <c r="DU154" s="55">
        <v>0.69</v>
      </c>
      <c r="DV154" s="55">
        <v>0.87</v>
      </c>
      <c r="DW154" s="55">
        <v>0.8571428571428571</v>
      </c>
      <c r="DX154" s="55">
        <v>0.89</v>
      </c>
      <c r="DY154" s="122">
        <v>0.608</v>
      </c>
      <c r="DZ154" s="122">
        <v>0.906</v>
      </c>
      <c r="EA154" s="124">
        <v>0.639</v>
      </c>
      <c r="EB154" s="124">
        <v>0.93</v>
      </c>
      <c r="EC154" s="122">
        <v>0.671</v>
      </c>
      <c r="ED154" s="122">
        <v>0.981</v>
      </c>
      <c r="EE154" s="124">
        <v>0.667</v>
      </c>
      <c r="EF154" s="124">
        <v>0.945</v>
      </c>
      <c r="EG154" s="122">
        <v>0.592</v>
      </c>
      <c r="EH154" s="122">
        <v>0.938</v>
      </c>
      <c r="EI154" s="124">
        <v>0.701</v>
      </c>
      <c r="EJ154" s="124">
        <v>0.931</v>
      </c>
      <c r="EK154" s="122">
        <v>0.625</v>
      </c>
      <c r="EL154" s="122">
        <v>0.98</v>
      </c>
      <c r="EM154" s="124">
        <v>0.623</v>
      </c>
      <c r="EN154" s="124">
        <v>1</v>
      </c>
      <c r="EO154" s="122">
        <v>0.585</v>
      </c>
      <c r="EP154" s="122">
        <v>0.932</v>
      </c>
      <c r="EQ154" s="124">
        <v>0.672</v>
      </c>
      <c r="ER154" s="124">
        <v>0.975</v>
      </c>
      <c r="ES154" s="122">
        <v>0.487</v>
      </c>
      <c r="ET154" s="122">
        <v>0.906</v>
      </c>
      <c r="EU154" s="124">
        <v>0.687</v>
      </c>
      <c r="EV154" s="124">
        <v>0.929</v>
      </c>
      <c r="EW154" s="122">
        <v>0.625</v>
      </c>
      <c r="EX154" s="122">
        <v>0.933</v>
      </c>
      <c r="EY154" s="124">
        <v>0.664</v>
      </c>
      <c r="EZ154" s="124">
        <v>0.682</v>
      </c>
      <c r="FA154" s="122">
        <v>0.425</v>
      </c>
      <c r="FB154" s="122">
        <v>0.75</v>
      </c>
      <c r="FC154" s="124">
        <v>0.52</v>
      </c>
      <c r="FD154" s="124">
        <v>0.707</v>
      </c>
      <c r="FE154" s="122">
        <v>0.303</v>
      </c>
      <c r="FF154" s="122">
        <v>0.507</v>
      </c>
      <c r="FG154" s="124">
        <v>0.239</v>
      </c>
      <c r="FH154" s="124">
        <v>0.377</v>
      </c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  <c r="GM154" s="57"/>
      <c r="GN154" s="57"/>
      <c r="GO154" s="57"/>
      <c r="GP154" s="57"/>
      <c r="GQ154" s="57"/>
      <c r="GR154" s="57"/>
      <c r="GS154" s="57"/>
      <c r="GT154" s="57"/>
      <c r="GU154" s="57"/>
      <c r="GV154" s="57"/>
      <c r="GW154" s="57"/>
      <c r="GX154" s="57"/>
      <c r="GY154" s="57"/>
      <c r="GZ154" s="57"/>
      <c r="HA154" s="57"/>
      <c r="HB154" s="57"/>
      <c r="HC154" s="57"/>
      <c r="HD154" s="57"/>
      <c r="HE154" s="57"/>
      <c r="HF154" s="57"/>
      <c r="HG154" s="57"/>
      <c r="HH154" s="57"/>
      <c r="HI154" s="57"/>
      <c r="HJ154" s="57"/>
      <c r="HK154" s="57"/>
      <c r="HL154" s="57"/>
      <c r="HM154" s="57"/>
      <c r="HN154" s="57"/>
      <c r="HO154" s="57"/>
      <c r="HP154" s="57"/>
      <c r="HQ154" s="57"/>
      <c r="HR154" s="57"/>
      <c r="HS154" s="57"/>
      <c r="HT154" s="57"/>
      <c r="HU154" s="57"/>
      <c r="HV154" s="57"/>
      <c r="HW154" s="57"/>
      <c r="HX154" s="57"/>
      <c r="HY154" s="57"/>
      <c r="HZ154" s="57"/>
      <c r="IA154" s="57"/>
      <c r="IB154" s="57"/>
      <c r="IC154" s="57"/>
      <c r="ID154" s="57"/>
      <c r="IE154" s="57"/>
      <c r="IF154" s="57"/>
      <c r="IG154" s="57"/>
      <c r="IH154" s="57"/>
      <c r="II154" s="57"/>
      <c r="IJ154" s="57"/>
      <c r="IK154" s="57"/>
      <c r="IL154" s="57"/>
      <c r="IM154" s="57"/>
      <c r="IN154" s="57"/>
      <c r="IO154" s="57"/>
      <c r="IP154" s="57"/>
      <c r="IQ154" s="57"/>
      <c r="IR154" s="57"/>
      <c r="IS154" s="57"/>
      <c r="IT154" s="57"/>
      <c r="IU154" s="57"/>
      <c r="IV154" s="57"/>
    </row>
    <row r="155" spans="1:256" s="58" customFormat="1" ht="12.75">
      <c r="A155" s="47" t="s">
        <v>26</v>
      </c>
      <c r="B155" s="47" t="s">
        <v>313</v>
      </c>
      <c r="C155" s="39" t="s">
        <v>11</v>
      </c>
      <c r="D155" s="39" t="s">
        <v>211</v>
      </c>
      <c r="E155" s="39"/>
      <c r="F155" s="10" t="s">
        <v>387</v>
      </c>
      <c r="G155" s="10" t="s">
        <v>320</v>
      </c>
      <c r="H155" s="10"/>
      <c r="I155" s="10" t="s">
        <v>166</v>
      </c>
      <c r="J155" s="10" t="s">
        <v>172</v>
      </c>
      <c r="K155" s="61"/>
      <c r="L155" s="9"/>
      <c r="M155" s="62"/>
      <c r="N155" s="62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50"/>
      <c r="AI155" s="50"/>
      <c r="AJ155" s="50"/>
      <c r="AK155" s="43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54"/>
      <c r="BX155" s="54"/>
      <c r="BY155" s="54"/>
      <c r="BZ155" s="54"/>
      <c r="CA155" s="54"/>
      <c r="CB155" s="54"/>
      <c r="CC155" s="54"/>
      <c r="CD155" s="44"/>
      <c r="CE155" s="54"/>
      <c r="CF155" s="54">
        <v>28</v>
      </c>
      <c r="CG155" s="54">
        <v>10</v>
      </c>
      <c r="CH155" s="54">
        <v>0</v>
      </c>
      <c r="CI155" s="54"/>
      <c r="CJ155" s="54">
        <v>0</v>
      </c>
      <c r="CK155" s="54"/>
      <c r="CL155" s="54"/>
      <c r="CM155" s="54">
        <v>0</v>
      </c>
      <c r="CN155" s="54">
        <v>0</v>
      </c>
      <c r="CO155" s="54"/>
      <c r="CP155" s="54"/>
      <c r="CQ155" s="54"/>
      <c r="CR155" s="55"/>
      <c r="CS155" s="55"/>
      <c r="CT155" s="55"/>
      <c r="CU155" s="55"/>
      <c r="CV155" s="55"/>
      <c r="CW155" s="64"/>
      <c r="CX155" s="64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47"/>
      <c r="EL155" s="47"/>
      <c r="EM155" s="120"/>
      <c r="EN155" s="12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122"/>
      <c r="FF155" s="122"/>
      <c r="FG155" s="50"/>
      <c r="FH155" s="50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57"/>
      <c r="GY155" s="57"/>
      <c r="GZ155" s="57"/>
      <c r="HA155" s="57"/>
      <c r="HB155" s="57"/>
      <c r="HC155" s="57"/>
      <c r="HD155" s="57"/>
      <c r="HE155" s="57"/>
      <c r="HF155" s="57"/>
      <c r="HG155" s="57"/>
      <c r="HH155" s="57"/>
      <c r="HI155" s="57"/>
      <c r="HJ155" s="57"/>
      <c r="HK155" s="57"/>
      <c r="HL155" s="57"/>
      <c r="HM155" s="57"/>
      <c r="HN155" s="57"/>
      <c r="HO155" s="57"/>
      <c r="HP155" s="57"/>
      <c r="HQ155" s="57"/>
      <c r="HR155" s="57"/>
      <c r="HS155" s="57"/>
      <c r="HT155" s="57"/>
      <c r="HU155" s="57"/>
      <c r="HV155" s="57"/>
      <c r="HW155" s="57"/>
      <c r="HX155" s="57"/>
      <c r="HY155" s="57"/>
      <c r="HZ155" s="57"/>
      <c r="IA155" s="57"/>
      <c r="IB155" s="57"/>
      <c r="IC155" s="57"/>
      <c r="ID155" s="57"/>
      <c r="IE155" s="57"/>
      <c r="IF155" s="57"/>
      <c r="IG155" s="57"/>
      <c r="IH155" s="57"/>
      <c r="II155" s="57"/>
      <c r="IJ155" s="57"/>
      <c r="IK155" s="57"/>
      <c r="IL155" s="57"/>
      <c r="IM155" s="57"/>
      <c r="IN155" s="57"/>
      <c r="IO155" s="57"/>
      <c r="IP155" s="57"/>
      <c r="IQ155" s="57"/>
      <c r="IR155" s="57"/>
      <c r="IS155" s="57"/>
      <c r="IT155" s="57"/>
      <c r="IU155" s="57"/>
      <c r="IV155" s="57"/>
    </row>
    <row r="156" spans="1:256" s="58" customFormat="1" ht="12.75">
      <c r="A156" s="47" t="s">
        <v>26</v>
      </c>
      <c r="B156" s="47" t="s">
        <v>313</v>
      </c>
      <c r="C156" s="39" t="s">
        <v>11</v>
      </c>
      <c r="D156" s="39">
        <v>6042100018</v>
      </c>
      <c r="E156" s="39">
        <v>633502030</v>
      </c>
      <c r="F156" s="26" t="s">
        <v>129</v>
      </c>
      <c r="G156" s="10" t="s">
        <v>320</v>
      </c>
      <c r="H156" s="10"/>
      <c r="I156" s="10" t="s">
        <v>166</v>
      </c>
      <c r="J156" s="10" t="s">
        <v>172</v>
      </c>
      <c r="K156" s="61"/>
      <c r="L156" s="9"/>
      <c r="M156" s="62"/>
      <c r="N156" s="61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50"/>
      <c r="AI156" s="50"/>
      <c r="AJ156" s="50"/>
      <c r="AK156" s="43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54"/>
      <c r="BX156" s="54"/>
      <c r="BY156" s="54"/>
      <c r="BZ156" s="54"/>
      <c r="CA156" s="54"/>
      <c r="CB156" s="54"/>
      <c r="CC156" s="54"/>
      <c r="CD156" s="44"/>
      <c r="CE156" s="54"/>
      <c r="CF156" s="54">
        <v>11</v>
      </c>
      <c r="CG156" s="54">
        <v>7</v>
      </c>
      <c r="CH156" s="54">
        <v>7</v>
      </c>
      <c r="CI156" s="54"/>
      <c r="CJ156" s="54">
        <v>0</v>
      </c>
      <c r="CK156" s="54"/>
      <c r="CL156" s="54"/>
      <c r="CM156" s="54">
        <v>0</v>
      </c>
      <c r="CN156" s="54">
        <v>0</v>
      </c>
      <c r="CO156" s="54"/>
      <c r="CP156" s="54"/>
      <c r="CQ156" s="54"/>
      <c r="CR156" s="55"/>
      <c r="CS156" s="55"/>
      <c r="CT156" s="55"/>
      <c r="CU156" s="55"/>
      <c r="CV156" s="55"/>
      <c r="CW156" s="64"/>
      <c r="CX156" s="64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47"/>
      <c r="EL156" s="47"/>
      <c r="EM156" s="120"/>
      <c r="EN156" s="12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122"/>
      <c r="FF156" s="122"/>
      <c r="FG156" s="50"/>
      <c r="FH156" s="50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57"/>
      <c r="GW156" s="57"/>
      <c r="GX156" s="57"/>
      <c r="GY156" s="57"/>
      <c r="GZ156" s="57"/>
      <c r="HA156" s="57"/>
      <c r="HB156" s="57"/>
      <c r="HC156" s="57"/>
      <c r="HD156" s="57"/>
      <c r="HE156" s="57"/>
      <c r="HF156" s="57"/>
      <c r="HG156" s="57"/>
      <c r="HH156" s="57"/>
      <c r="HI156" s="57"/>
      <c r="HJ156" s="57"/>
      <c r="HK156" s="57"/>
      <c r="HL156" s="57"/>
      <c r="HM156" s="57"/>
      <c r="HN156" s="57"/>
      <c r="HO156" s="57"/>
      <c r="HP156" s="57"/>
      <c r="HQ156" s="57"/>
      <c r="HR156" s="57"/>
      <c r="HS156" s="57"/>
      <c r="HT156" s="57"/>
      <c r="HU156" s="57"/>
      <c r="HV156" s="57"/>
      <c r="HW156" s="57"/>
      <c r="HX156" s="57"/>
      <c r="HY156" s="57"/>
      <c r="HZ156" s="57"/>
      <c r="IA156" s="57"/>
      <c r="IB156" s="57"/>
      <c r="IC156" s="57"/>
      <c r="ID156" s="57"/>
      <c r="IE156" s="57"/>
      <c r="IF156" s="57"/>
      <c r="IG156" s="57"/>
      <c r="IH156" s="57"/>
      <c r="II156" s="57"/>
      <c r="IJ156" s="57"/>
      <c r="IK156" s="57"/>
      <c r="IL156" s="57"/>
      <c r="IM156" s="57"/>
      <c r="IN156" s="57"/>
      <c r="IO156" s="57"/>
      <c r="IP156" s="57"/>
      <c r="IQ156" s="57"/>
      <c r="IR156" s="57"/>
      <c r="IS156" s="57"/>
      <c r="IT156" s="57"/>
      <c r="IU156" s="57"/>
      <c r="IV156" s="57"/>
    </row>
    <row r="157" spans="1:256" s="58" customFormat="1" ht="12.75">
      <c r="A157" s="47" t="s">
        <v>26</v>
      </c>
      <c r="B157" s="47" t="s">
        <v>313</v>
      </c>
      <c r="C157" s="39" t="s">
        <v>11</v>
      </c>
      <c r="D157" s="39">
        <v>6041400002</v>
      </c>
      <c r="E157" s="39">
        <v>633400003</v>
      </c>
      <c r="F157" s="10" t="s">
        <v>130</v>
      </c>
      <c r="G157" s="10" t="s">
        <v>320</v>
      </c>
      <c r="H157" s="10"/>
      <c r="I157" s="10" t="s">
        <v>166</v>
      </c>
      <c r="J157" s="10" t="s">
        <v>172</v>
      </c>
      <c r="K157" s="61"/>
      <c r="L157" s="9"/>
      <c r="M157" s="62"/>
      <c r="N157" s="61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50"/>
      <c r="AI157" s="50"/>
      <c r="AJ157" s="50"/>
      <c r="AK157" s="43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54"/>
      <c r="BX157" s="54"/>
      <c r="BY157" s="54"/>
      <c r="BZ157" s="54"/>
      <c r="CA157" s="54"/>
      <c r="CB157" s="54"/>
      <c r="CC157" s="54"/>
      <c r="CD157" s="44"/>
      <c r="CE157" s="54"/>
      <c r="CF157" s="54">
        <v>21</v>
      </c>
      <c r="CG157" s="54">
        <v>17</v>
      </c>
      <c r="CH157" s="54">
        <v>17</v>
      </c>
      <c r="CI157" s="54"/>
      <c r="CJ157" s="54">
        <v>0</v>
      </c>
      <c r="CK157" s="54"/>
      <c r="CL157" s="54"/>
      <c r="CM157" s="54">
        <v>0</v>
      </c>
      <c r="CN157" s="54">
        <v>0</v>
      </c>
      <c r="CO157" s="54"/>
      <c r="CP157" s="54"/>
      <c r="CQ157" s="54"/>
      <c r="CR157" s="55"/>
      <c r="CS157" s="55"/>
      <c r="CT157" s="55"/>
      <c r="CU157" s="55"/>
      <c r="CV157" s="55"/>
      <c r="CW157" s="64"/>
      <c r="CX157" s="64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47"/>
      <c r="EL157" s="47"/>
      <c r="EM157" s="120"/>
      <c r="EN157" s="12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122"/>
      <c r="FF157" s="122"/>
      <c r="FG157" s="50"/>
      <c r="FH157" s="50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  <c r="GY157" s="57"/>
      <c r="GZ157" s="57"/>
      <c r="HA157" s="57"/>
      <c r="HB157" s="57"/>
      <c r="HC157" s="57"/>
      <c r="HD157" s="57"/>
      <c r="HE157" s="57"/>
      <c r="HF157" s="57"/>
      <c r="HG157" s="57"/>
      <c r="HH157" s="57"/>
      <c r="HI157" s="57"/>
      <c r="HJ157" s="57"/>
      <c r="HK157" s="57"/>
      <c r="HL157" s="57"/>
      <c r="HM157" s="57"/>
      <c r="HN157" s="57"/>
      <c r="HO157" s="57"/>
      <c r="HP157" s="57"/>
      <c r="HQ157" s="57"/>
      <c r="HR157" s="57"/>
      <c r="HS157" s="57"/>
      <c r="HT157" s="57"/>
      <c r="HU157" s="57"/>
      <c r="HV157" s="57"/>
      <c r="HW157" s="57"/>
      <c r="HX157" s="57"/>
      <c r="HY157" s="57"/>
      <c r="HZ157" s="57"/>
      <c r="IA157" s="57"/>
      <c r="IB157" s="57"/>
      <c r="IC157" s="57"/>
      <c r="ID157" s="57"/>
      <c r="IE157" s="57"/>
      <c r="IF157" s="57"/>
      <c r="IG157" s="57"/>
      <c r="IH157" s="57"/>
      <c r="II157" s="57"/>
      <c r="IJ157" s="57"/>
      <c r="IK157" s="57"/>
      <c r="IL157" s="57"/>
      <c r="IM157" s="57"/>
      <c r="IN157" s="57"/>
      <c r="IO157" s="57"/>
      <c r="IP157" s="57"/>
      <c r="IQ157" s="57"/>
      <c r="IR157" s="57"/>
      <c r="IS157" s="57"/>
      <c r="IT157" s="57"/>
      <c r="IU157" s="57"/>
      <c r="IV157" s="57"/>
    </row>
    <row r="158" spans="1:256" s="58" customFormat="1" ht="12.75">
      <c r="A158" s="47" t="s">
        <v>26</v>
      </c>
      <c r="B158" s="47" t="s">
        <v>313</v>
      </c>
      <c r="C158" s="39" t="s">
        <v>11</v>
      </c>
      <c r="D158" s="39">
        <v>7042100142</v>
      </c>
      <c r="E158" s="39">
        <v>733502200</v>
      </c>
      <c r="F158" s="10" t="s">
        <v>388</v>
      </c>
      <c r="G158" s="47" t="s">
        <v>321</v>
      </c>
      <c r="H158" s="10"/>
      <c r="I158" s="10" t="s">
        <v>166</v>
      </c>
      <c r="J158" s="10" t="s">
        <v>172</v>
      </c>
      <c r="K158" s="61"/>
      <c r="L158" s="9"/>
      <c r="M158" s="62"/>
      <c r="N158" s="6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42"/>
      <c r="AH158" s="50"/>
      <c r="AI158" s="50"/>
      <c r="AJ158" s="50"/>
      <c r="AK158" s="43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54"/>
      <c r="BX158" s="54"/>
      <c r="BY158" s="54"/>
      <c r="BZ158" s="54"/>
      <c r="CA158" s="54"/>
      <c r="CB158" s="54"/>
      <c r="CC158" s="54"/>
      <c r="CD158" s="44"/>
      <c r="CE158" s="54"/>
      <c r="CF158" s="54">
        <v>28</v>
      </c>
      <c r="CG158" s="54">
        <v>28</v>
      </c>
      <c r="CH158" s="54">
        <v>26</v>
      </c>
      <c r="CI158" s="54">
        <v>6</v>
      </c>
      <c r="CJ158" s="54">
        <v>0</v>
      </c>
      <c r="CK158" s="54"/>
      <c r="CL158" s="54"/>
      <c r="CM158" s="54"/>
      <c r="CN158" s="54">
        <v>0</v>
      </c>
      <c r="CO158" s="54"/>
      <c r="CP158" s="54"/>
      <c r="CQ158" s="54"/>
      <c r="CR158" s="55"/>
      <c r="CS158" s="10"/>
      <c r="CT158" s="50"/>
      <c r="CU158" s="55"/>
      <c r="CV158" s="55"/>
      <c r="CW158" s="64"/>
      <c r="CX158" s="64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47"/>
      <c r="EL158" s="47"/>
      <c r="EM158" s="120"/>
      <c r="EN158" s="12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122"/>
      <c r="FF158" s="122"/>
      <c r="FG158" s="50"/>
      <c r="FH158" s="50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  <c r="HE158" s="57"/>
      <c r="HF158" s="57"/>
      <c r="HG158" s="57"/>
      <c r="HH158" s="57"/>
      <c r="HI158" s="57"/>
      <c r="HJ158" s="57"/>
      <c r="HK158" s="57"/>
      <c r="HL158" s="57"/>
      <c r="HM158" s="57"/>
      <c r="HN158" s="57"/>
      <c r="HO158" s="57"/>
      <c r="HP158" s="57"/>
      <c r="HQ158" s="57"/>
      <c r="HR158" s="57"/>
      <c r="HS158" s="57"/>
      <c r="HT158" s="57"/>
      <c r="HU158" s="57"/>
      <c r="HV158" s="57"/>
      <c r="HW158" s="57"/>
      <c r="HX158" s="57"/>
      <c r="HY158" s="57"/>
      <c r="HZ158" s="57"/>
      <c r="IA158" s="57"/>
      <c r="IB158" s="57"/>
      <c r="IC158" s="57"/>
      <c r="ID158" s="57"/>
      <c r="IE158" s="57"/>
      <c r="IF158" s="57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  <c r="IR158" s="57"/>
      <c r="IS158" s="57"/>
      <c r="IT158" s="57"/>
      <c r="IU158" s="57"/>
      <c r="IV158" s="57"/>
    </row>
    <row r="159" spans="1:256" s="58" customFormat="1" ht="12.75">
      <c r="A159" s="47" t="s">
        <v>26</v>
      </c>
      <c r="B159" s="47" t="s">
        <v>313</v>
      </c>
      <c r="C159" s="39" t="s">
        <v>11</v>
      </c>
      <c r="D159" s="39">
        <v>7041400051</v>
      </c>
      <c r="E159" s="39">
        <v>733400079</v>
      </c>
      <c r="F159" s="10" t="s">
        <v>389</v>
      </c>
      <c r="G159" s="47" t="s">
        <v>321</v>
      </c>
      <c r="H159" s="10"/>
      <c r="I159" s="10" t="s">
        <v>166</v>
      </c>
      <c r="J159" s="10" t="s">
        <v>172</v>
      </c>
      <c r="K159" s="61"/>
      <c r="L159" s="9"/>
      <c r="M159" s="62"/>
      <c r="N159" s="6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42"/>
      <c r="AH159" s="50"/>
      <c r="AI159" s="50"/>
      <c r="AJ159" s="50"/>
      <c r="AK159" s="43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54"/>
      <c r="BX159" s="54"/>
      <c r="BY159" s="54"/>
      <c r="BZ159" s="54"/>
      <c r="CA159" s="54"/>
      <c r="CB159" s="54"/>
      <c r="CC159" s="54"/>
      <c r="CD159" s="44"/>
      <c r="CE159" s="54"/>
      <c r="CF159" s="54"/>
      <c r="CG159" s="54"/>
      <c r="CH159" s="54"/>
      <c r="CI159" s="54"/>
      <c r="CJ159" s="54"/>
      <c r="CK159" s="54"/>
      <c r="CL159" s="54">
        <v>11</v>
      </c>
      <c r="CM159" s="54">
        <f>11+7</f>
        <v>18</v>
      </c>
      <c r="CN159" s="54">
        <f>16+13</f>
        <v>29</v>
      </c>
      <c r="CO159" s="54">
        <f>18+16</f>
        <v>34</v>
      </c>
      <c r="CP159" s="54">
        <v>31</v>
      </c>
      <c r="CQ159" s="54">
        <v>15</v>
      </c>
      <c r="CR159" s="55"/>
      <c r="CS159" s="10"/>
      <c r="CT159" s="50"/>
      <c r="CU159" s="55"/>
      <c r="CV159" s="55"/>
      <c r="CW159" s="64"/>
      <c r="CX159" s="64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47"/>
      <c r="EL159" s="47"/>
      <c r="EM159" s="120"/>
      <c r="EN159" s="12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122"/>
      <c r="FF159" s="122"/>
      <c r="FG159" s="50"/>
      <c r="FH159" s="50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  <c r="GM159" s="57"/>
      <c r="GN159" s="57"/>
      <c r="GO159" s="57"/>
      <c r="GP159" s="57"/>
      <c r="GQ159" s="57"/>
      <c r="GR159" s="57"/>
      <c r="GS159" s="57"/>
      <c r="GT159" s="57"/>
      <c r="GU159" s="57"/>
      <c r="GV159" s="57"/>
      <c r="GW159" s="57"/>
      <c r="GX159" s="57"/>
      <c r="GY159" s="57"/>
      <c r="GZ159" s="57"/>
      <c r="HA159" s="57"/>
      <c r="HB159" s="57"/>
      <c r="HC159" s="57"/>
      <c r="HD159" s="57"/>
      <c r="HE159" s="57"/>
      <c r="HF159" s="57"/>
      <c r="HG159" s="57"/>
      <c r="HH159" s="57"/>
      <c r="HI159" s="57"/>
      <c r="HJ159" s="57"/>
      <c r="HK159" s="57"/>
      <c r="HL159" s="57"/>
      <c r="HM159" s="57"/>
      <c r="HN159" s="57"/>
      <c r="HO159" s="57"/>
      <c r="HP159" s="57"/>
      <c r="HQ159" s="57"/>
      <c r="HR159" s="57"/>
      <c r="HS159" s="57"/>
      <c r="HT159" s="57"/>
      <c r="HU159" s="57"/>
      <c r="HV159" s="57"/>
      <c r="HW159" s="57"/>
      <c r="HX159" s="57"/>
      <c r="HY159" s="57"/>
      <c r="HZ159" s="57"/>
      <c r="IA159" s="57"/>
      <c r="IB159" s="57"/>
      <c r="IC159" s="57"/>
      <c r="ID159" s="57"/>
      <c r="IE159" s="57"/>
      <c r="IF159" s="57"/>
      <c r="IG159" s="57"/>
      <c r="IH159" s="57"/>
      <c r="II159" s="57"/>
      <c r="IJ159" s="57"/>
      <c r="IK159" s="57"/>
      <c r="IL159" s="57"/>
      <c r="IM159" s="57"/>
      <c r="IN159" s="57"/>
      <c r="IO159" s="57"/>
      <c r="IP159" s="57"/>
      <c r="IQ159" s="57"/>
      <c r="IR159" s="57"/>
      <c r="IS159" s="57"/>
      <c r="IT159" s="57"/>
      <c r="IU159" s="57"/>
      <c r="IV159" s="57"/>
    </row>
    <row r="160" spans="1:256" s="58" customFormat="1" ht="12.75">
      <c r="A160" s="47" t="s">
        <v>26</v>
      </c>
      <c r="B160" s="47" t="s">
        <v>313</v>
      </c>
      <c r="C160" s="39" t="s">
        <v>11</v>
      </c>
      <c r="D160" s="39">
        <v>7041400009</v>
      </c>
      <c r="E160" s="39">
        <v>733400012</v>
      </c>
      <c r="F160" s="10" t="s">
        <v>390</v>
      </c>
      <c r="G160" s="47" t="s">
        <v>321</v>
      </c>
      <c r="H160" s="10"/>
      <c r="I160" s="10" t="s">
        <v>166</v>
      </c>
      <c r="J160" s="10" t="s">
        <v>172</v>
      </c>
      <c r="K160" s="61"/>
      <c r="L160" s="9"/>
      <c r="M160" s="62"/>
      <c r="N160" s="6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42"/>
      <c r="AH160" s="50"/>
      <c r="AI160" s="50"/>
      <c r="AJ160" s="50"/>
      <c r="AK160" s="43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54"/>
      <c r="BX160" s="54"/>
      <c r="BY160" s="54"/>
      <c r="BZ160" s="54"/>
      <c r="CA160" s="54"/>
      <c r="CB160" s="54"/>
      <c r="CC160" s="54"/>
      <c r="CD160" s="44"/>
      <c r="CE160" s="54"/>
      <c r="CF160" s="54"/>
      <c r="CG160" s="54">
        <v>15</v>
      </c>
      <c r="CH160" s="54">
        <v>16</v>
      </c>
      <c r="CI160" s="54">
        <f>6+6</f>
        <v>12</v>
      </c>
      <c r="CJ160" s="54">
        <v>13</v>
      </c>
      <c r="CK160" s="54">
        <v>5</v>
      </c>
      <c r="CL160" s="54">
        <f>11+4</f>
        <v>15</v>
      </c>
      <c r="CM160" s="54">
        <f>7+5</f>
        <v>12</v>
      </c>
      <c r="CN160" s="54">
        <f>7+2</f>
        <v>9</v>
      </c>
      <c r="CO160" s="54">
        <f>6+6</f>
        <v>12</v>
      </c>
      <c r="CP160" s="54">
        <v>4</v>
      </c>
      <c r="CQ160" s="54">
        <v>3</v>
      </c>
      <c r="CR160" s="55"/>
      <c r="CS160" s="10"/>
      <c r="CT160" s="50"/>
      <c r="CU160" s="55"/>
      <c r="CV160" s="55"/>
      <c r="CW160" s="64"/>
      <c r="CX160" s="64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47"/>
      <c r="EL160" s="47"/>
      <c r="EM160" s="120"/>
      <c r="EN160" s="12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122"/>
      <c r="FF160" s="122"/>
      <c r="FG160" s="50"/>
      <c r="FH160" s="50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57"/>
      <c r="GW160" s="57"/>
      <c r="GX160" s="57"/>
      <c r="GY160" s="57"/>
      <c r="GZ160" s="57"/>
      <c r="HA160" s="57"/>
      <c r="HB160" s="57"/>
      <c r="HC160" s="57"/>
      <c r="HD160" s="57"/>
      <c r="HE160" s="57"/>
      <c r="HF160" s="57"/>
      <c r="HG160" s="57"/>
      <c r="HH160" s="57"/>
      <c r="HI160" s="57"/>
      <c r="HJ160" s="57"/>
      <c r="HK160" s="57"/>
      <c r="HL160" s="57"/>
      <c r="HM160" s="57"/>
      <c r="HN160" s="57"/>
      <c r="HO160" s="57"/>
      <c r="HP160" s="57"/>
      <c r="HQ160" s="57"/>
      <c r="HR160" s="57"/>
      <c r="HS160" s="57"/>
      <c r="HT160" s="57"/>
      <c r="HU160" s="57"/>
      <c r="HV160" s="57"/>
      <c r="HW160" s="57"/>
      <c r="HX160" s="57"/>
      <c r="HY160" s="57"/>
      <c r="HZ160" s="57"/>
      <c r="IA160" s="57"/>
      <c r="IB160" s="57"/>
      <c r="IC160" s="57"/>
      <c r="ID160" s="57"/>
      <c r="IE160" s="57"/>
      <c r="IF160" s="57"/>
      <c r="IG160" s="57"/>
      <c r="IH160" s="57"/>
      <c r="II160" s="57"/>
      <c r="IJ160" s="57"/>
      <c r="IK160" s="57"/>
      <c r="IL160" s="57"/>
      <c r="IM160" s="57"/>
      <c r="IN160" s="57"/>
      <c r="IO160" s="57"/>
      <c r="IP160" s="57"/>
      <c r="IQ160" s="57"/>
      <c r="IR160" s="57"/>
      <c r="IS160" s="57"/>
      <c r="IT160" s="57"/>
      <c r="IU160" s="57"/>
      <c r="IV160" s="57"/>
    </row>
    <row r="161" spans="1:256" s="58" customFormat="1" ht="12.75">
      <c r="A161" s="47" t="s">
        <v>26</v>
      </c>
      <c r="B161" s="47" t="s">
        <v>313</v>
      </c>
      <c r="C161" s="39" t="s">
        <v>11</v>
      </c>
      <c r="D161" s="39">
        <v>7011500021</v>
      </c>
      <c r="E161" s="39">
        <v>7011500021</v>
      </c>
      <c r="F161" s="10" t="s">
        <v>391</v>
      </c>
      <c r="G161" s="47" t="s">
        <v>321</v>
      </c>
      <c r="H161" s="10"/>
      <c r="I161" s="10" t="s">
        <v>166</v>
      </c>
      <c r="J161" s="10" t="s">
        <v>172</v>
      </c>
      <c r="K161" s="61"/>
      <c r="L161" s="9"/>
      <c r="M161" s="62"/>
      <c r="N161" s="6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42"/>
      <c r="AH161" s="50"/>
      <c r="AI161" s="50"/>
      <c r="AJ161" s="50"/>
      <c r="AK161" s="43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54"/>
      <c r="BX161" s="54"/>
      <c r="BY161" s="54"/>
      <c r="BZ161" s="54"/>
      <c r="CA161" s="54"/>
      <c r="CB161" s="54"/>
      <c r="CC161" s="54"/>
      <c r="CD161" s="4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>
        <f>2+0</f>
        <v>2</v>
      </c>
      <c r="CO161" s="54">
        <v>4</v>
      </c>
      <c r="CP161" s="54">
        <v>8</v>
      </c>
      <c r="CQ161" s="54">
        <v>12</v>
      </c>
      <c r="CR161" s="55"/>
      <c r="CS161" s="10"/>
      <c r="CT161" s="50"/>
      <c r="CU161" s="55"/>
      <c r="CV161" s="55"/>
      <c r="CW161" s="64"/>
      <c r="CX161" s="64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47"/>
      <c r="EL161" s="47"/>
      <c r="EM161" s="120"/>
      <c r="EN161" s="12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122"/>
      <c r="FF161" s="122"/>
      <c r="FG161" s="50"/>
      <c r="FH161" s="50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57"/>
      <c r="GW161" s="57"/>
      <c r="GX161" s="57"/>
      <c r="GY161" s="57"/>
      <c r="GZ161" s="57"/>
      <c r="HA161" s="57"/>
      <c r="HB161" s="57"/>
      <c r="HC161" s="57"/>
      <c r="HD161" s="57"/>
      <c r="HE161" s="57"/>
      <c r="HF161" s="57"/>
      <c r="HG161" s="57"/>
      <c r="HH161" s="57"/>
      <c r="HI161" s="57"/>
      <c r="HJ161" s="57"/>
      <c r="HK161" s="57"/>
      <c r="HL161" s="57"/>
      <c r="HM161" s="57"/>
      <c r="HN161" s="57"/>
      <c r="HO161" s="57"/>
      <c r="HP161" s="57"/>
      <c r="HQ161" s="57"/>
      <c r="HR161" s="57"/>
      <c r="HS161" s="57"/>
      <c r="HT161" s="57"/>
      <c r="HU161" s="57"/>
      <c r="HV161" s="57"/>
      <c r="HW161" s="57"/>
      <c r="HX161" s="57"/>
      <c r="HY161" s="57"/>
      <c r="HZ161" s="57"/>
      <c r="IA161" s="57"/>
      <c r="IB161" s="57"/>
      <c r="IC161" s="57"/>
      <c r="ID161" s="57"/>
      <c r="IE161" s="57"/>
      <c r="IF161" s="57"/>
      <c r="IG161" s="57"/>
      <c r="IH161" s="57"/>
      <c r="II161" s="57"/>
      <c r="IJ161" s="57"/>
      <c r="IK161" s="57"/>
      <c r="IL161" s="57"/>
      <c r="IM161" s="57"/>
      <c r="IN161" s="57"/>
      <c r="IO161" s="57"/>
      <c r="IP161" s="57"/>
      <c r="IQ161" s="57"/>
      <c r="IR161" s="57"/>
      <c r="IS161" s="57"/>
      <c r="IT161" s="57"/>
      <c r="IU161" s="57"/>
      <c r="IV161" s="57"/>
    </row>
    <row r="162" spans="1:256" s="58" customFormat="1" ht="12.75">
      <c r="A162" s="47" t="s">
        <v>26</v>
      </c>
      <c r="B162" s="47" t="s">
        <v>313</v>
      </c>
      <c r="C162" s="39" t="s">
        <v>11</v>
      </c>
      <c r="D162" s="39">
        <v>7042000002</v>
      </c>
      <c r="E162" s="39">
        <v>733000001</v>
      </c>
      <c r="F162" s="10" t="s">
        <v>134</v>
      </c>
      <c r="G162" s="47" t="s">
        <v>321</v>
      </c>
      <c r="H162" s="10"/>
      <c r="I162" s="10" t="s">
        <v>166</v>
      </c>
      <c r="J162" s="10" t="s">
        <v>172</v>
      </c>
      <c r="K162" s="61"/>
      <c r="L162" s="9" t="s">
        <v>141</v>
      </c>
      <c r="M162" s="62" t="s">
        <v>21</v>
      </c>
      <c r="N162" s="62" t="s">
        <v>21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50"/>
      <c r="AI162" s="50"/>
      <c r="AJ162" s="50"/>
      <c r="AK162" s="43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54"/>
      <c r="BX162" s="54"/>
      <c r="BY162" s="54"/>
      <c r="BZ162" s="54"/>
      <c r="CA162" s="54"/>
      <c r="CB162" s="54"/>
      <c r="CC162" s="54"/>
      <c r="CD162" s="44"/>
      <c r="CE162" s="54"/>
      <c r="CF162" s="54">
        <v>0</v>
      </c>
      <c r="CG162" s="54">
        <v>17</v>
      </c>
      <c r="CH162" s="54">
        <v>17</v>
      </c>
      <c r="CI162" s="54">
        <f>22+6</f>
        <v>28</v>
      </c>
      <c r="CJ162" s="54">
        <v>13</v>
      </c>
      <c r="CK162" s="54"/>
      <c r="CL162" s="54">
        <v>14</v>
      </c>
      <c r="CM162" s="54">
        <f>19+0</f>
        <v>19</v>
      </c>
      <c r="CN162" s="54">
        <f>30+0</f>
        <v>30</v>
      </c>
      <c r="CO162" s="54">
        <v>29</v>
      </c>
      <c r="CP162" s="54">
        <v>28</v>
      </c>
      <c r="CQ162" s="54">
        <v>25</v>
      </c>
      <c r="CR162" s="55"/>
      <c r="CS162" s="55"/>
      <c r="CT162" s="55"/>
      <c r="CU162" s="55"/>
      <c r="CV162" s="55"/>
      <c r="CW162" s="64"/>
      <c r="CX162" s="64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47"/>
      <c r="EL162" s="47"/>
      <c r="EM162" s="120"/>
      <c r="EN162" s="12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122"/>
      <c r="FF162" s="122"/>
      <c r="FG162" s="50"/>
      <c r="FH162" s="50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  <c r="GY162" s="57"/>
      <c r="GZ162" s="57"/>
      <c r="HA162" s="57"/>
      <c r="HB162" s="57"/>
      <c r="HC162" s="57"/>
      <c r="HD162" s="57"/>
      <c r="HE162" s="57"/>
      <c r="HF162" s="57"/>
      <c r="HG162" s="57"/>
      <c r="HH162" s="57"/>
      <c r="HI162" s="57"/>
      <c r="HJ162" s="57"/>
      <c r="HK162" s="57"/>
      <c r="HL162" s="57"/>
      <c r="HM162" s="57"/>
      <c r="HN162" s="57"/>
      <c r="HO162" s="57"/>
      <c r="HP162" s="57"/>
      <c r="HQ162" s="57"/>
      <c r="HR162" s="57"/>
      <c r="HS162" s="57"/>
      <c r="HT162" s="57"/>
      <c r="HU162" s="57"/>
      <c r="HV162" s="57"/>
      <c r="HW162" s="57"/>
      <c r="HX162" s="57"/>
      <c r="HY162" s="57"/>
      <c r="HZ162" s="57"/>
      <c r="IA162" s="57"/>
      <c r="IB162" s="57"/>
      <c r="IC162" s="57"/>
      <c r="ID162" s="57"/>
      <c r="IE162" s="57"/>
      <c r="IF162" s="57"/>
      <c r="IG162" s="57"/>
      <c r="IH162" s="57"/>
      <c r="II162" s="57"/>
      <c r="IJ162" s="57"/>
      <c r="IK162" s="57"/>
      <c r="IL162" s="57"/>
      <c r="IM162" s="57"/>
      <c r="IN162" s="57"/>
      <c r="IO162" s="57"/>
      <c r="IP162" s="57"/>
      <c r="IQ162" s="57"/>
      <c r="IR162" s="57"/>
      <c r="IS162" s="57"/>
      <c r="IT162" s="57"/>
      <c r="IU162" s="57"/>
      <c r="IV162" s="57"/>
    </row>
    <row r="163" spans="1:256" s="58" customFormat="1" ht="12.75">
      <c r="A163" s="47" t="s">
        <v>26</v>
      </c>
      <c r="B163" s="47" t="s">
        <v>313</v>
      </c>
      <c r="C163" s="39" t="s">
        <v>11</v>
      </c>
      <c r="D163" s="39">
        <v>8031400004</v>
      </c>
      <c r="E163" s="39">
        <v>831400004</v>
      </c>
      <c r="F163" s="26" t="s">
        <v>392</v>
      </c>
      <c r="G163" s="50" t="s">
        <v>319</v>
      </c>
      <c r="H163" s="10"/>
      <c r="I163" s="50"/>
      <c r="J163" s="10"/>
      <c r="K163" s="61"/>
      <c r="L163" s="9"/>
      <c r="M163" s="62"/>
      <c r="N163" s="62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50"/>
      <c r="AI163" s="50"/>
      <c r="AJ163" s="50"/>
      <c r="AK163" s="43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54"/>
      <c r="BX163" s="54"/>
      <c r="BY163" s="54"/>
      <c r="BZ163" s="54"/>
      <c r="CA163" s="54"/>
      <c r="CB163" s="54"/>
      <c r="CC163" s="54"/>
      <c r="CD163" s="44"/>
      <c r="CE163" s="54"/>
      <c r="CF163" s="54"/>
      <c r="CG163" s="54"/>
      <c r="CH163" s="54"/>
      <c r="CI163" s="54"/>
      <c r="CJ163" s="54"/>
      <c r="CK163" s="54"/>
      <c r="CL163" s="54"/>
      <c r="CM163" s="54">
        <f>0+3</f>
        <v>3</v>
      </c>
      <c r="CN163" s="54">
        <f>3+2</f>
        <v>5</v>
      </c>
      <c r="CO163" s="54">
        <f>6+4</f>
        <v>10</v>
      </c>
      <c r="CP163" s="54">
        <v>15</v>
      </c>
      <c r="CQ163" s="54">
        <v>12</v>
      </c>
      <c r="CR163" s="54"/>
      <c r="CS163" s="54"/>
      <c r="CT163" s="55"/>
      <c r="CU163" s="55"/>
      <c r="CV163" s="55"/>
      <c r="CW163" s="64"/>
      <c r="CX163" s="64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47"/>
      <c r="EL163" s="47"/>
      <c r="EM163" s="120"/>
      <c r="EN163" s="12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122"/>
      <c r="FF163" s="122"/>
      <c r="FG163" s="50"/>
      <c r="FH163" s="50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  <c r="IT163" s="57"/>
      <c r="IU163" s="57"/>
      <c r="IV163" s="57"/>
    </row>
    <row r="164" spans="1:256" s="58" customFormat="1" ht="12.75">
      <c r="A164" s="47" t="s">
        <v>26</v>
      </c>
      <c r="B164" s="47" t="s">
        <v>315</v>
      </c>
      <c r="C164" s="39" t="s">
        <v>15</v>
      </c>
      <c r="D164" s="39">
        <v>5033100011</v>
      </c>
      <c r="E164" s="39">
        <v>534100012</v>
      </c>
      <c r="F164" s="26" t="s">
        <v>108</v>
      </c>
      <c r="G164" s="10" t="s">
        <v>318</v>
      </c>
      <c r="H164" s="10" t="s">
        <v>65</v>
      </c>
      <c r="I164" s="10" t="s">
        <v>166</v>
      </c>
      <c r="J164" s="10" t="s">
        <v>172</v>
      </c>
      <c r="K164" s="61">
        <v>1</v>
      </c>
      <c r="L164" s="75" t="s">
        <v>22</v>
      </c>
      <c r="M164" s="62" t="s">
        <v>21</v>
      </c>
      <c r="N164" s="62"/>
      <c r="O164" s="62"/>
      <c r="P164" s="62">
        <v>0.2839</v>
      </c>
      <c r="Q164" s="62">
        <v>0.4215</v>
      </c>
      <c r="R164" s="60">
        <v>0.4141</v>
      </c>
      <c r="S164" s="60">
        <v>0.4702</v>
      </c>
      <c r="T164" s="60">
        <v>0.5625</v>
      </c>
      <c r="U164" s="60">
        <v>0.4913</v>
      </c>
      <c r="V164" s="60">
        <v>0.47560975609756095</v>
      </c>
      <c r="W164" s="62">
        <v>0.5643</v>
      </c>
      <c r="X164" s="62">
        <v>0.4487</v>
      </c>
      <c r="Y164" s="62">
        <v>0.6271</v>
      </c>
      <c r="Z164" s="62">
        <v>0.619</v>
      </c>
      <c r="AA164" s="62">
        <v>0.696</v>
      </c>
      <c r="AB164" s="62">
        <v>0.4737</v>
      </c>
      <c r="AC164" s="62">
        <v>0.767</v>
      </c>
      <c r="AD164" s="62">
        <v>0.3627</v>
      </c>
      <c r="AE164" s="62">
        <v>0.6761</v>
      </c>
      <c r="AF164" s="62">
        <v>0.4845</v>
      </c>
      <c r="AG164" s="62">
        <v>0.6847826086956522</v>
      </c>
      <c r="AH164" s="62">
        <v>0.6277</v>
      </c>
      <c r="AI164" s="62">
        <v>0.845360824742268</v>
      </c>
      <c r="AJ164" s="62">
        <v>0.5128205128205128</v>
      </c>
      <c r="AK164" s="80">
        <v>0.8214285714285714</v>
      </c>
      <c r="AL164" s="62">
        <v>0.725</v>
      </c>
      <c r="AM164" s="62">
        <v>0.7654</v>
      </c>
      <c r="AN164" s="62">
        <v>0.5384615384615384</v>
      </c>
      <c r="AO164" s="62">
        <v>0.7179</v>
      </c>
      <c r="AP164" s="81">
        <v>0.679</v>
      </c>
      <c r="AQ164" s="81">
        <v>0.8148148148148148</v>
      </c>
      <c r="AR164" s="81">
        <v>0.6046511627906976</v>
      </c>
      <c r="AS164" s="81">
        <v>0.7674418604651163</v>
      </c>
      <c r="AT164" s="81">
        <v>0.5517241379310345</v>
      </c>
      <c r="AU164" s="81">
        <v>0.6931818181818182</v>
      </c>
      <c r="AV164" s="81">
        <v>0.6373626373626373</v>
      </c>
      <c r="AW164" s="81">
        <v>0.7125</v>
      </c>
      <c r="AX164" s="81">
        <v>0.675</v>
      </c>
      <c r="AY164" s="81">
        <v>0.6316</v>
      </c>
      <c r="AZ164" s="81">
        <v>0.6807</v>
      </c>
      <c r="BA164" s="81">
        <v>0.5909090909090909</v>
      </c>
      <c r="BB164" s="81">
        <v>0.6623</v>
      </c>
      <c r="BC164" s="60">
        <f>AVERAGE(O164:P164)</f>
        <v>0.2839</v>
      </c>
      <c r="BD164" s="60">
        <f>AVERAGE(Q164:R164)</f>
        <v>0.4178</v>
      </c>
      <c r="BE164" s="60">
        <f>AVERAGE(S164:T164)</f>
        <v>0.51635</v>
      </c>
      <c r="BF164" s="60">
        <f>AVERAGE(U164:V164)</f>
        <v>0.4834548780487805</v>
      </c>
      <c r="BG164" s="62">
        <f>AVERAGE(W164:X164)</f>
        <v>0.5065</v>
      </c>
      <c r="BH164" s="62">
        <f>(Z164+Y164)/2</f>
        <v>0.62305</v>
      </c>
      <c r="BI164" s="62">
        <f>AVERAGE(AA164:AB164)</f>
        <v>0.58485</v>
      </c>
      <c r="BJ164" s="62">
        <f>AVERAGE(AC164:AD164)</f>
        <v>0.5648500000000001</v>
      </c>
      <c r="BK164" s="62">
        <f>AVERAGE(AE164:AF164)</f>
        <v>0.5803</v>
      </c>
      <c r="BL164" s="62">
        <f>AVERAGE(AG164:AH164)</f>
        <v>0.6562413043478261</v>
      </c>
      <c r="BM164" s="62">
        <f>AVERAGE(AI164:AJ164)</f>
        <v>0.6790906687813905</v>
      </c>
      <c r="BN164" s="62">
        <f>AVERAGE(AK164:AL164)</f>
        <v>0.7732142857142856</v>
      </c>
      <c r="BO164" s="62">
        <f aca="true" t="shared" si="46" ref="BO164:BT165">AVERAGE(AM164:AN164)</f>
        <v>0.6519307692307692</v>
      </c>
      <c r="BP164" s="62">
        <f t="shared" si="46"/>
        <v>0.6281807692307693</v>
      </c>
      <c r="BQ164" s="62">
        <f t="shared" si="46"/>
        <v>0.69845</v>
      </c>
      <c r="BR164" s="62">
        <f t="shared" si="46"/>
        <v>0.7469074074074074</v>
      </c>
      <c r="BS164" s="62">
        <f t="shared" si="46"/>
        <v>0.7097329888027561</v>
      </c>
      <c r="BT164" s="62">
        <f t="shared" si="46"/>
        <v>0.686046511627907</v>
      </c>
      <c r="BU164" s="62">
        <f>AVERAGE(AY164:AZ164)</f>
        <v>0.65615</v>
      </c>
      <c r="BV164" s="62">
        <f>AVERAGE(BA164:BB164)</f>
        <v>0.6266045454545455</v>
      </c>
      <c r="BW164" s="61">
        <v>1216</v>
      </c>
      <c r="BX164" s="54">
        <v>1215</v>
      </c>
      <c r="BY164" s="54">
        <v>1187</v>
      </c>
      <c r="BZ164" s="54">
        <v>1255</v>
      </c>
      <c r="CA164" s="54">
        <v>1289</v>
      </c>
      <c r="CB164" s="54">
        <v>1106</v>
      </c>
      <c r="CC164" s="54">
        <v>1071</v>
      </c>
      <c r="CD164" s="44">
        <v>1000</v>
      </c>
      <c r="CE164" s="54">
        <v>979</v>
      </c>
      <c r="CF164" s="54">
        <v>925</v>
      </c>
      <c r="CG164" s="54">
        <f>792+88</f>
        <v>880</v>
      </c>
      <c r="CH164" s="54">
        <f>770+89</f>
        <v>859</v>
      </c>
      <c r="CI164" s="54">
        <f>765+91</f>
        <v>856</v>
      </c>
      <c r="CJ164" s="54">
        <f>761+79</f>
        <v>840</v>
      </c>
      <c r="CK164" s="54">
        <f>772+83</f>
        <v>855</v>
      </c>
      <c r="CL164" s="54">
        <f>744+84</f>
        <v>828</v>
      </c>
      <c r="CM164" s="54">
        <f>722+83</f>
        <v>805</v>
      </c>
      <c r="CN164" s="54">
        <f>718+80</f>
        <v>798</v>
      </c>
      <c r="CO164" s="54">
        <f>693+80</f>
        <v>773</v>
      </c>
      <c r="CP164" s="54">
        <v>790</v>
      </c>
      <c r="CQ164" s="54">
        <v>635</v>
      </c>
      <c r="CR164" s="55">
        <v>0.81</v>
      </c>
      <c r="CS164" s="55">
        <v>0.87</v>
      </c>
      <c r="CT164" s="55">
        <v>0.93</v>
      </c>
      <c r="CU164" s="55">
        <v>0.96</v>
      </c>
      <c r="CV164" s="55">
        <v>0.96</v>
      </c>
      <c r="CW164" s="64">
        <v>0.93</v>
      </c>
      <c r="CX164" s="64">
        <v>0.98</v>
      </c>
      <c r="CY164" s="55">
        <v>0.94</v>
      </c>
      <c r="CZ164" s="55">
        <v>0.95</v>
      </c>
      <c r="DA164" s="55">
        <v>0.99</v>
      </c>
      <c r="DB164" s="55">
        <v>0.93</v>
      </c>
      <c r="DC164" s="55">
        <v>0.83</v>
      </c>
      <c r="DD164" s="55">
        <v>0.9</v>
      </c>
      <c r="DE164" s="55">
        <v>1</v>
      </c>
      <c r="DF164" s="55">
        <v>0.95</v>
      </c>
      <c r="DG164" s="55">
        <v>0.88</v>
      </c>
      <c r="DH164" s="55">
        <v>0.91</v>
      </c>
      <c r="DI164" s="55">
        <v>0.91</v>
      </c>
      <c r="DJ164" s="55">
        <v>0.91</v>
      </c>
      <c r="DK164" s="55">
        <v>0.9010989010989011</v>
      </c>
      <c r="DL164" s="55">
        <v>0.96</v>
      </c>
      <c r="DM164" s="55">
        <v>0.9</v>
      </c>
      <c r="DN164" s="55">
        <v>0.9</v>
      </c>
      <c r="DO164" s="55">
        <v>0.9</v>
      </c>
      <c r="DP164" s="55">
        <v>0.84</v>
      </c>
      <c r="DQ164" s="55">
        <v>0.8522727272727273</v>
      </c>
      <c r="DR164" s="55">
        <v>0.8571428571428571</v>
      </c>
      <c r="DS164" s="55">
        <v>0.86</v>
      </c>
      <c r="DT164" s="55">
        <v>1</v>
      </c>
      <c r="DU164" s="55">
        <v>0.91</v>
      </c>
      <c r="DV164" s="55">
        <v>0.84</v>
      </c>
      <c r="DW164" s="55">
        <v>0.8860759493670886</v>
      </c>
      <c r="DX164" s="55">
        <v>0.9</v>
      </c>
      <c r="DY164" s="122">
        <v>0.731</v>
      </c>
      <c r="DZ164" s="122">
        <v>1</v>
      </c>
      <c r="EA164" s="124">
        <v>0.952</v>
      </c>
      <c r="EB164" s="124">
        <v>1</v>
      </c>
      <c r="EC164" s="122">
        <v>0.8</v>
      </c>
      <c r="ED164" s="122">
        <v>0.941</v>
      </c>
      <c r="EE164" s="124">
        <v>0.877</v>
      </c>
      <c r="EF164" s="124">
        <v>1</v>
      </c>
      <c r="EG164" s="122">
        <v>0.731</v>
      </c>
      <c r="EH164" s="122">
        <v>1</v>
      </c>
      <c r="EI164" s="124">
        <v>0.833</v>
      </c>
      <c r="EJ164" s="124">
        <v>1</v>
      </c>
      <c r="EK164" s="122">
        <v>0.827</v>
      </c>
      <c r="EL164" s="122">
        <v>1</v>
      </c>
      <c r="EM164" s="124">
        <v>0.889</v>
      </c>
      <c r="EN164" s="124">
        <v>1</v>
      </c>
      <c r="EO164" s="122">
        <v>0.733</v>
      </c>
      <c r="EP164" s="122">
        <v>1</v>
      </c>
      <c r="EQ164" s="123">
        <v>0.872</v>
      </c>
      <c r="ER164" s="123">
        <v>1</v>
      </c>
      <c r="ES164" s="122">
        <v>0.678</v>
      </c>
      <c r="ET164" s="122">
        <v>1</v>
      </c>
      <c r="EU164" s="124">
        <v>0.784</v>
      </c>
      <c r="EV164" s="124">
        <v>1</v>
      </c>
      <c r="EW164" s="122">
        <v>0.692</v>
      </c>
      <c r="EX164" s="122">
        <v>0.94</v>
      </c>
      <c r="EY164" s="124">
        <v>0.738</v>
      </c>
      <c r="EZ164" s="124">
        <v>0.894</v>
      </c>
      <c r="FA164" s="122">
        <v>0.725</v>
      </c>
      <c r="FB164" s="122">
        <v>0.892</v>
      </c>
      <c r="FC164" s="124">
        <v>0.553</v>
      </c>
      <c r="FD164" s="124">
        <v>0.75</v>
      </c>
      <c r="FE164" s="122">
        <v>0.53</v>
      </c>
      <c r="FF164" s="122">
        <v>0.647</v>
      </c>
      <c r="FG164" s="124">
        <v>0.47</v>
      </c>
      <c r="FH164" s="124">
        <v>0.609</v>
      </c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  <c r="GM164" s="57"/>
      <c r="GN164" s="57"/>
      <c r="GO164" s="57"/>
      <c r="GP164" s="57"/>
      <c r="GQ164" s="57"/>
      <c r="GR164" s="57"/>
      <c r="GS164" s="57"/>
      <c r="GT164" s="57"/>
      <c r="GU164" s="57"/>
      <c r="GV164" s="57"/>
      <c r="GW164" s="57"/>
      <c r="GX164" s="57"/>
      <c r="GY164" s="57"/>
      <c r="GZ164" s="57"/>
      <c r="HA164" s="57"/>
      <c r="HB164" s="57"/>
      <c r="HC164" s="57"/>
      <c r="HD164" s="57"/>
      <c r="HE164" s="57"/>
      <c r="HF164" s="57"/>
      <c r="HG164" s="57"/>
      <c r="HH164" s="57"/>
      <c r="HI164" s="57"/>
      <c r="HJ164" s="57"/>
      <c r="HK164" s="57"/>
      <c r="HL164" s="57"/>
      <c r="HM164" s="57"/>
      <c r="HN164" s="57"/>
      <c r="HO164" s="57"/>
      <c r="HP164" s="57"/>
      <c r="HQ164" s="57"/>
      <c r="HR164" s="57"/>
      <c r="HS164" s="57"/>
      <c r="HT164" s="57"/>
      <c r="HU164" s="57"/>
      <c r="HV164" s="57"/>
      <c r="HW164" s="57"/>
      <c r="HX164" s="57"/>
      <c r="HY164" s="57"/>
      <c r="HZ164" s="57"/>
      <c r="IA164" s="57"/>
      <c r="IB164" s="57"/>
      <c r="IC164" s="57"/>
      <c r="ID164" s="57"/>
      <c r="IE164" s="57"/>
      <c r="IF164" s="57"/>
      <c r="IG164" s="57"/>
      <c r="IH164" s="57"/>
      <c r="II164" s="57"/>
      <c r="IJ164" s="57"/>
      <c r="IK164" s="57"/>
      <c r="IL164" s="57"/>
      <c r="IM164" s="57"/>
      <c r="IN164" s="57"/>
      <c r="IO164" s="57"/>
      <c r="IP164" s="57"/>
      <c r="IQ164" s="57"/>
      <c r="IR164" s="57"/>
      <c r="IS164" s="57"/>
      <c r="IT164" s="57"/>
      <c r="IU164" s="57"/>
      <c r="IV164" s="57"/>
    </row>
    <row r="165" spans="1:256" s="58" customFormat="1" ht="12.75">
      <c r="A165" s="47" t="s">
        <v>26</v>
      </c>
      <c r="B165" s="47" t="s">
        <v>315</v>
      </c>
      <c r="C165" s="39" t="s">
        <v>15</v>
      </c>
      <c r="D165" s="39">
        <v>5012603031</v>
      </c>
      <c r="E165" s="39">
        <v>512704055</v>
      </c>
      <c r="F165" s="34" t="s">
        <v>266</v>
      </c>
      <c r="G165" s="10" t="s">
        <v>318</v>
      </c>
      <c r="H165" s="10" t="s">
        <v>66</v>
      </c>
      <c r="I165" s="10" t="s">
        <v>167</v>
      </c>
      <c r="J165" s="10" t="s">
        <v>173</v>
      </c>
      <c r="K165" s="61">
        <v>1</v>
      </c>
      <c r="L165" s="75" t="s">
        <v>21</v>
      </c>
      <c r="M165" s="62" t="s">
        <v>21</v>
      </c>
      <c r="N165" s="62"/>
      <c r="O165" s="62"/>
      <c r="P165" s="62"/>
      <c r="Q165" s="76"/>
      <c r="R165" s="76"/>
      <c r="S165" s="60">
        <v>0.4403</v>
      </c>
      <c r="T165" s="60">
        <v>0.4737</v>
      </c>
      <c r="U165" s="60">
        <v>0.6736</v>
      </c>
      <c r="V165" s="60">
        <v>0.561</v>
      </c>
      <c r="W165" s="60">
        <v>0.6139</v>
      </c>
      <c r="X165" s="62">
        <v>0.5714</v>
      </c>
      <c r="Y165" s="62">
        <v>0.3419</v>
      </c>
      <c r="Z165" s="62">
        <v>0.4085</v>
      </c>
      <c r="AA165" s="62">
        <v>0.42718446601941745</v>
      </c>
      <c r="AB165" s="62">
        <v>0.4182</v>
      </c>
      <c r="AC165" s="62">
        <v>0.3182</v>
      </c>
      <c r="AD165" s="62">
        <v>0.375</v>
      </c>
      <c r="AE165" s="62">
        <v>0.3659</v>
      </c>
      <c r="AF165" s="62">
        <v>0.3404</v>
      </c>
      <c r="AG165" s="62">
        <v>0.5072</v>
      </c>
      <c r="AH165" s="62">
        <v>0.2432</v>
      </c>
      <c r="AI165" s="62">
        <v>0.4305555555555556</v>
      </c>
      <c r="AJ165" s="62">
        <v>0.175</v>
      </c>
      <c r="AK165" s="80">
        <v>0.2647</v>
      </c>
      <c r="AL165" s="62">
        <v>0.1622</v>
      </c>
      <c r="AM165" s="62">
        <v>0.2778</v>
      </c>
      <c r="AN165" s="62">
        <v>0.2702702702702703</v>
      </c>
      <c r="AO165" s="62">
        <v>0.4</v>
      </c>
      <c r="AP165" s="81">
        <v>0.1892</v>
      </c>
      <c r="AQ165" s="81">
        <v>0.2631578947368421</v>
      </c>
      <c r="AR165" s="81">
        <v>0.28205128205128205</v>
      </c>
      <c r="AS165" s="81">
        <v>0.38235294117647056</v>
      </c>
      <c r="AT165" s="81">
        <v>0.43902439024390244</v>
      </c>
      <c r="AU165" s="81">
        <v>0.6176470588235294</v>
      </c>
      <c r="AV165" s="81">
        <v>0.3902439024390244</v>
      </c>
      <c r="AW165" s="84"/>
      <c r="AX165" s="84"/>
      <c r="AY165" s="84"/>
      <c r="AZ165" s="84"/>
      <c r="BA165" s="84"/>
      <c r="BB165" s="84"/>
      <c r="BC165" s="60"/>
      <c r="BD165" s="60"/>
      <c r="BE165" s="60">
        <f>AVERAGE(S165:T165)</f>
        <v>0.457</v>
      </c>
      <c r="BF165" s="60">
        <f>AVERAGE(U165:V165)</f>
        <v>0.6173</v>
      </c>
      <c r="BG165" s="62">
        <f>AVERAGE(W165:X165)</f>
        <v>0.59265</v>
      </c>
      <c r="BH165" s="62">
        <f>(Z165+Y165)/2</f>
        <v>0.3752</v>
      </c>
      <c r="BI165" s="62">
        <f>AVERAGE(AA165:AB165)</f>
        <v>0.4226922330097087</v>
      </c>
      <c r="BJ165" s="62">
        <f>AVERAGE(AC165:AD165)</f>
        <v>0.3466</v>
      </c>
      <c r="BK165" s="62">
        <f>AVERAGE(AE165:AF165)</f>
        <v>0.35314999999999996</v>
      </c>
      <c r="BL165" s="62">
        <f>AVERAGE(AG165:AH165)</f>
        <v>0.3752</v>
      </c>
      <c r="BM165" s="62">
        <f>AVERAGE(AI165:AJ165)</f>
        <v>0.3027777777777778</v>
      </c>
      <c r="BN165" s="62">
        <f>AVERAGE(AK165:AL165)</f>
        <v>0.21345</v>
      </c>
      <c r="BO165" s="62">
        <f t="shared" si="46"/>
        <v>0.2740351351351351</v>
      </c>
      <c r="BP165" s="62">
        <f t="shared" si="46"/>
        <v>0.33513513513513515</v>
      </c>
      <c r="BQ165" s="62">
        <f t="shared" si="46"/>
        <v>0.29460000000000003</v>
      </c>
      <c r="BR165" s="62">
        <f t="shared" si="46"/>
        <v>0.22617894736842103</v>
      </c>
      <c r="BS165" s="62">
        <f t="shared" si="46"/>
        <v>0.2726045883940621</v>
      </c>
      <c r="BT165" s="62">
        <f t="shared" si="46"/>
        <v>0.3322021116138763</v>
      </c>
      <c r="BU165" s="62"/>
      <c r="BV165" s="62"/>
      <c r="BW165" s="61">
        <v>393</v>
      </c>
      <c r="BX165" s="54">
        <v>502</v>
      </c>
      <c r="BY165" s="54">
        <v>615</v>
      </c>
      <c r="BZ165" s="54">
        <v>642</v>
      </c>
      <c r="CA165" s="54">
        <v>497</v>
      </c>
      <c r="CB165" s="54">
        <v>421</v>
      </c>
      <c r="CC165" s="54">
        <v>397</v>
      </c>
      <c r="CD165" s="44">
        <v>387</v>
      </c>
      <c r="CE165" s="54">
        <v>394</v>
      </c>
      <c r="CF165" s="54">
        <v>374</v>
      </c>
      <c r="CG165" s="54">
        <f>263+39</f>
        <v>302</v>
      </c>
      <c r="CH165" s="54">
        <f>223+39</f>
        <v>262</v>
      </c>
      <c r="CI165" s="54">
        <f>203+40</f>
        <v>243</v>
      </c>
      <c r="CJ165" s="54">
        <f>204+38</f>
        <v>242</v>
      </c>
      <c r="CK165" s="54">
        <f>211+42</f>
        <v>253</v>
      </c>
      <c r="CL165" s="54">
        <f>226+27</f>
        <v>253</v>
      </c>
      <c r="CM165" s="54">
        <f>218+29</f>
        <v>247</v>
      </c>
      <c r="CN165" s="54">
        <f>26+37</f>
        <v>63</v>
      </c>
      <c r="CO165" s="54">
        <v>1</v>
      </c>
      <c r="CP165" s="54"/>
      <c r="CQ165" s="54"/>
      <c r="CR165" s="55">
        <v>0.79</v>
      </c>
      <c r="CS165" s="55">
        <v>0.69</v>
      </c>
      <c r="CT165" s="55">
        <v>0.63</v>
      </c>
      <c r="CU165" s="55">
        <v>0.75</v>
      </c>
      <c r="CV165" s="55">
        <v>0.85</v>
      </c>
      <c r="CW165" s="64">
        <v>0.72</v>
      </c>
      <c r="CX165" s="64">
        <v>0.86</v>
      </c>
      <c r="CY165" s="55">
        <v>0.78</v>
      </c>
      <c r="CZ165" s="55">
        <v>0.82</v>
      </c>
      <c r="DA165" s="55">
        <v>0.7</v>
      </c>
      <c r="DB165" s="55">
        <v>0.79</v>
      </c>
      <c r="DC165" s="55">
        <v>0.81</v>
      </c>
      <c r="DD165" s="55">
        <v>0.59</v>
      </c>
      <c r="DE165" s="55">
        <v>0.57</v>
      </c>
      <c r="DF165" s="55">
        <v>0.69</v>
      </c>
      <c r="DG165" s="55">
        <v>0.49</v>
      </c>
      <c r="DH165" s="55">
        <v>0.61</v>
      </c>
      <c r="DI165" s="55">
        <v>0.56</v>
      </c>
      <c r="DJ165" s="55">
        <v>0.68</v>
      </c>
      <c r="DK165" s="55">
        <v>0.6585365853658537</v>
      </c>
      <c r="DL165" s="55">
        <v>0.74</v>
      </c>
      <c r="DM165" s="55">
        <v>0.61</v>
      </c>
      <c r="DN165" s="134"/>
      <c r="DO165" s="134"/>
      <c r="DP165" s="134"/>
      <c r="DQ165" s="134"/>
      <c r="DR165" s="134"/>
      <c r="DS165" s="130"/>
      <c r="DT165" s="130"/>
      <c r="DU165" s="130"/>
      <c r="DV165" s="130"/>
      <c r="DW165" s="130"/>
      <c r="DX165" s="130"/>
      <c r="DY165" s="122">
        <v>0.528</v>
      </c>
      <c r="DZ165" s="122">
        <v>0.884</v>
      </c>
      <c r="EA165" s="124">
        <v>0.4</v>
      </c>
      <c r="EB165" s="124">
        <v>0.941</v>
      </c>
      <c r="EC165" s="122">
        <v>0.456</v>
      </c>
      <c r="ED165" s="122">
        <v>0.886</v>
      </c>
      <c r="EE165" s="124">
        <v>0.459</v>
      </c>
      <c r="EF165" s="124">
        <v>1</v>
      </c>
      <c r="EG165" s="122">
        <v>0.389</v>
      </c>
      <c r="EH165" s="122">
        <v>0.933</v>
      </c>
      <c r="EI165" s="124">
        <v>0.351</v>
      </c>
      <c r="EJ165" s="124">
        <v>1</v>
      </c>
      <c r="EK165" s="122">
        <v>0.514</v>
      </c>
      <c r="EL165" s="122">
        <v>1</v>
      </c>
      <c r="EM165" s="124">
        <v>0.405</v>
      </c>
      <c r="EN165" s="124">
        <v>1</v>
      </c>
      <c r="EO165" s="122">
        <v>0.421</v>
      </c>
      <c r="EP165" s="122">
        <v>0.727</v>
      </c>
      <c r="EQ165" s="123">
        <v>0.436</v>
      </c>
      <c r="ER165" s="123">
        <v>1</v>
      </c>
      <c r="ES165" s="122">
        <v>0.5</v>
      </c>
      <c r="ET165" s="122">
        <v>0.85</v>
      </c>
      <c r="EU165" s="124">
        <v>0.488</v>
      </c>
      <c r="EV165" s="124">
        <v>1</v>
      </c>
      <c r="EW165" s="122">
        <v>0.559</v>
      </c>
      <c r="EX165" s="122">
        <v>0.864</v>
      </c>
      <c r="EY165" s="124">
        <v>0.22</v>
      </c>
      <c r="EZ165" s="124">
        <v>0.474</v>
      </c>
      <c r="FA165" s="131" t="s">
        <v>211</v>
      </c>
      <c r="FB165" s="131" t="s">
        <v>211</v>
      </c>
      <c r="FC165" s="132" t="s">
        <v>211</v>
      </c>
      <c r="FD165" s="132" t="s">
        <v>211</v>
      </c>
      <c r="FE165" s="131" t="s">
        <v>211</v>
      </c>
      <c r="FF165" s="131" t="s">
        <v>211</v>
      </c>
      <c r="FG165" s="132" t="s">
        <v>211</v>
      </c>
      <c r="FH165" s="132" t="s">
        <v>211</v>
      </c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s="58" customFormat="1" ht="12.75">
      <c r="A166" s="47" t="s">
        <v>26</v>
      </c>
      <c r="B166" s="47" t="s">
        <v>315</v>
      </c>
      <c r="C166" s="39" t="s">
        <v>15</v>
      </c>
      <c r="D166" s="39">
        <v>5012603041</v>
      </c>
      <c r="E166" s="39">
        <v>512802052</v>
      </c>
      <c r="F166" s="26" t="s">
        <v>267</v>
      </c>
      <c r="G166" s="10" t="s">
        <v>318</v>
      </c>
      <c r="H166" s="10"/>
      <c r="I166" s="10"/>
      <c r="J166" s="10"/>
      <c r="K166" s="61"/>
      <c r="L166" s="75"/>
      <c r="M166" s="62"/>
      <c r="N166" s="62"/>
      <c r="O166" s="62"/>
      <c r="P166" s="62"/>
      <c r="Q166" s="76"/>
      <c r="R166" s="76"/>
      <c r="S166" s="60"/>
      <c r="T166" s="60"/>
      <c r="U166" s="60"/>
      <c r="V166" s="60"/>
      <c r="W166" s="60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80"/>
      <c r="AL166" s="62"/>
      <c r="AM166" s="62"/>
      <c r="AN166" s="62"/>
      <c r="AO166" s="62"/>
      <c r="AP166" s="81"/>
      <c r="AQ166" s="76"/>
      <c r="AR166" s="76"/>
      <c r="AS166" s="76"/>
      <c r="AT166" s="76"/>
      <c r="AU166" s="76" t="s">
        <v>211</v>
      </c>
      <c r="AV166" s="76" t="s">
        <v>211</v>
      </c>
      <c r="AW166" s="81">
        <v>0.4412</v>
      </c>
      <c r="AX166" s="81">
        <v>0.3571</v>
      </c>
      <c r="AY166" s="81">
        <v>0.6389</v>
      </c>
      <c r="AZ166" s="81">
        <v>0.2963</v>
      </c>
      <c r="BA166" s="81">
        <v>0.35294117647058826</v>
      </c>
      <c r="BB166" s="81">
        <v>0.3846</v>
      </c>
      <c r="BC166" s="60"/>
      <c r="BD166" s="60"/>
      <c r="BE166" s="60"/>
      <c r="BF166" s="60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>
        <f>AVERAGE(AY166:AZ166)</f>
        <v>0.4676</v>
      </c>
      <c r="BV166" s="62">
        <f aca="true" t="shared" si="47" ref="BV166:BV175">AVERAGE(BA166:BB166)</f>
        <v>0.36877058823529413</v>
      </c>
      <c r="BW166" s="61"/>
      <c r="BX166" s="54"/>
      <c r="BY166" s="54"/>
      <c r="BZ166" s="54"/>
      <c r="CA166" s="54"/>
      <c r="CB166" s="54"/>
      <c r="CC166" s="54"/>
      <c r="CD166" s="4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>
        <v>185</v>
      </c>
      <c r="CO166" s="54">
        <f>228+41</f>
        <v>269</v>
      </c>
      <c r="CP166" s="54">
        <v>277</v>
      </c>
      <c r="CQ166" s="54">
        <v>255</v>
      </c>
      <c r="CR166" s="55"/>
      <c r="CS166" s="55"/>
      <c r="CT166" s="55"/>
      <c r="CU166" s="55"/>
      <c r="CV166" s="55"/>
      <c r="CW166" s="64"/>
      <c r="CX166" s="64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>
        <v>0.71</v>
      </c>
      <c r="DO166" s="55">
        <v>0.6428571428571429</v>
      </c>
      <c r="DP166" s="55">
        <v>0.8888888888888888</v>
      </c>
      <c r="DQ166" s="55">
        <v>0.7407407407407407</v>
      </c>
      <c r="DR166" s="55">
        <v>0.8823529411764706</v>
      </c>
      <c r="DS166" s="64">
        <v>0.77</v>
      </c>
      <c r="DT166" s="64">
        <v>0.76</v>
      </c>
      <c r="DU166" s="64">
        <v>0.83</v>
      </c>
      <c r="DV166" s="64">
        <v>0.83</v>
      </c>
      <c r="DW166" s="55">
        <v>0.8717948717948718</v>
      </c>
      <c r="DX166" s="55">
        <v>0.77</v>
      </c>
      <c r="DY166" s="122"/>
      <c r="DZ166" s="122"/>
      <c r="EA166" s="124"/>
      <c r="EB166" s="124"/>
      <c r="EC166" s="122"/>
      <c r="ED166" s="122"/>
      <c r="EE166" s="124"/>
      <c r="EF166" s="124"/>
      <c r="EG166" s="122"/>
      <c r="EH166" s="122"/>
      <c r="EI166" s="124"/>
      <c r="EJ166" s="124"/>
      <c r="EK166" s="122"/>
      <c r="EL166" s="122"/>
      <c r="EM166" s="124"/>
      <c r="EN166" s="124"/>
      <c r="EO166" s="122"/>
      <c r="EP166" s="122"/>
      <c r="EQ166" s="123"/>
      <c r="ER166" s="123"/>
      <c r="ES166" s="122"/>
      <c r="ET166" s="122"/>
      <c r="EU166" s="124"/>
      <c r="EV166" s="124"/>
      <c r="EW166" s="131" t="s">
        <v>211</v>
      </c>
      <c r="EX166" s="131" t="s">
        <v>211</v>
      </c>
      <c r="EY166" s="132" t="s">
        <v>211</v>
      </c>
      <c r="EZ166" s="132" t="s">
        <v>211</v>
      </c>
      <c r="FA166" s="122">
        <v>0.265</v>
      </c>
      <c r="FB166" s="122">
        <v>0.45</v>
      </c>
      <c r="FC166" s="124">
        <v>0.262</v>
      </c>
      <c r="FD166" s="124">
        <v>0.524</v>
      </c>
      <c r="FE166" s="122">
        <v>0.306</v>
      </c>
      <c r="FF166" s="122">
        <v>0.379</v>
      </c>
      <c r="FG166" s="124">
        <v>0</v>
      </c>
      <c r="FH166" s="124">
        <v>0</v>
      </c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56" s="63" customFormat="1" ht="12.75">
      <c r="A167" s="47" t="s">
        <v>26</v>
      </c>
      <c r="B167" s="47" t="s">
        <v>315</v>
      </c>
      <c r="C167" s="39" t="s">
        <v>15</v>
      </c>
      <c r="D167" s="39">
        <v>5031300006</v>
      </c>
      <c r="E167" s="39">
        <v>531300009</v>
      </c>
      <c r="F167" s="28" t="s">
        <v>263</v>
      </c>
      <c r="G167" s="10" t="s">
        <v>318</v>
      </c>
      <c r="H167" s="10" t="s">
        <v>65</v>
      </c>
      <c r="I167" s="10" t="s">
        <v>166</v>
      </c>
      <c r="J167" s="10" t="s">
        <v>172</v>
      </c>
      <c r="K167" s="61">
        <v>1</v>
      </c>
      <c r="L167" s="75" t="s">
        <v>21</v>
      </c>
      <c r="M167" s="62" t="s">
        <v>21</v>
      </c>
      <c r="N167" s="62"/>
      <c r="O167" s="76"/>
      <c r="P167" s="76"/>
      <c r="Q167" s="76"/>
      <c r="R167" s="76"/>
      <c r="S167" s="76"/>
      <c r="T167" s="76"/>
      <c r="U167" s="76"/>
      <c r="V167" s="62">
        <v>0.675</v>
      </c>
      <c r="W167" s="62">
        <v>0.425</v>
      </c>
      <c r="X167" s="62">
        <v>0.5957</v>
      </c>
      <c r="Y167" s="62">
        <v>0.3913</v>
      </c>
      <c r="Z167" s="62">
        <v>0.5246</v>
      </c>
      <c r="AA167" s="62">
        <v>0.40384615384615385</v>
      </c>
      <c r="AB167" s="62">
        <v>0.4808</v>
      </c>
      <c r="AC167" s="62">
        <v>0.3529</v>
      </c>
      <c r="AD167" s="62">
        <v>0.44</v>
      </c>
      <c r="AE167" s="62">
        <v>0.48936170212765956</v>
      </c>
      <c r="AF167" s="62">
        <v>0.5</v>
      </c>
      <c r="AG167" s="62">
        <v>0.4878</v>
      </c>
      <c r="AH167" s="62">
        <v>0.7561</v>
      </c>
      <c r="AI167" s="62">
        <v>0.4864864864864865</v>
      </c>
      <c r="AJ167" s="62">
        <v>0.358974358974359</v>
      </c>
      <c r="AK167" s="80">
        <v>0.5</v>
      </c>
      <c r="AL167" s="62">
        <v>0.5</v>
      </c>
      <c r="AM167" s="62">
        <v>0.5128</v>
      </c>
      <c r="AN167" s="62">
        <v>0.575</v>
      </c>
      <c r="AO167" s="62">
        <v>0.425</v>
      </c>
      <c r="AP167" s="84"/>
      <c r="AQ167" s="81">
        <v>0.4177215189873418</v>
      </c>
      <c r="AR167" s="81">
        <v>0.6351351351351351</v>
      </c>
      <c r="AS167" s="81">
        <v>0.34615384615384615</v>
      </c>
      <c r="AT167" s="81">
        <v>0.4864864864864865</v>
      </c>
      <c r="AU167" s="81">
        <v>0.3472222222222222</v>
      </c>
      <c r="AV167" s="81">
        <v>0.6625</v>
      </c>
      <c r="AW167" s="81">
        <v>0.5373</v>
      </c>
      <c r="AX167" s="81">
        <v>0.5</v>
      </c>
      <c r="AY167" s="81">
        <v>0.3671</v>
      </c>
      <c r="AZ167" s="81">
        <v>0.5</v>
      </c>
      <c r="BA167" s="81">
        <v>0.3493975903614458</v>
      </c>
      <c r="BB167" s="81">
        <v>0.3205</v>
      </c>
      <c r="BC167" s="60"/>
      <c r="BD167" s="60"/>
      <c r="BE167" s="60"/>
      <c r="BF167" s="60"/>
      <c r="BG167" s="62">
        <f>AVERAGE(W167:X167)</f>
        <v>0.51035</v>
      </c>
      <c r="BH167" s="62">
        <f>(Z167+Y167)/2</f>
        <v>0.45794999999999997</v>
      </c>
      <c r="BI167" s="62">
        <f>AVERAGE(AA167:AB167)</f>
        <v>0.44232307692307693</v>
      </c>
      <c r="BJ167" s="62">
        <f>AVERAGE(AC167:AD167)</f>
        <v>0.39644999999999997</v>
      </c>
      <c r="BK167" s="62">
        <f>AVERAGE(AE167:AF167)</f>
        <v>0.49468085106382975</v>
      </c>
      <c r="BL167" s="62">
        <f>AVERAGE(AG167:AH167)</f>
        <v>0.62195</v>
      </c>
      <c r="BM167" s="62">
        <f>AVERAGE(AI167:AJ167)</f>
        <v>0.4227304227304227</v>
      </c>
      <c r="BN167" s="62">
        <f>AVERAGE(AK167:AL167)</f>
        <v>0.5</v>
      </c>
      <c r="BO167" s="62">
        <f aca="true" t="shared" si="48" ref="BO167:BT170">AVERAGE(AM167:AN167)</f>
        <v>0.5439</v>
      </c>
      <c r="BP167" s="62">
        <f t="shared" si="48"/>
        <v>0.5</v>
      </c>
      <c r="BQ167" s="62">
        <f t="shared" si="48"/>
        <v>0.425</v>
      </c>
      <c r="BR167" s="62">
        <f t="shared" si="48"/>
        <v>0.4177215189873418</v>
      </c>
      <c r="BS167" s="62">
        <f t="shared" si="48"/>
        <v>0.5264283270612384</v>
      </c>
      <c r="BT167" s="62">
        <f t="shared" si="48"/>
        <v>0.4906444906444906</v>
      </c>
      <c r="BU167" s="62">
        <f>AVERAGE(AY167:AZ167)</f>
        <v>0.43355</v>
      </c>
      <c r="BV167" s="62">
        <f t="shared" si="47"/>
        <v>0.3349487951807229</v>
      </c>
      <c r="BW167" s="61">
        <v>40</v>
      </c>
      <c r="BX167" s="54">
        <v>171</v>
      </c>
      <c r="BY167" s="54">
        <v>248</v>
      </c>
      <c r="BZ167" s="54">
        <v>326</v>
      </c>
      <c r="CA167" s="54">
        <f>393+13</f>
        <v>406</v>
      </c>
      <c r="CB167" s="54">
        <v>381</v>
      </c>
      <c r="CC167" s="65">
        <v>373</v>
      </c>
      <c r="CD167" s="45">
        <v>373</v>
      </c>
      <c r="CE167" s="65">
        <v>375</v>
      </c>
      <c r="CF167" s="65">
        <v>366</v>
      </c>
      <c r="CG167" s="65">
        <f>314+79</f>
        <v>393</v>
      </c>
      <c r="CH167" s="65">
        <f>364+79</f>
        <v>443</v>
      </c>
      <c r="CI167" s="65">
        <f>430+73</f>
        <v>503</v>
      </c>
      <c r="CJ167" s="65">
        <f>481+69</f>
        <v>550</v>
      </c>
      <c r="CK167" s="65">
        <f>519+84</f>
        <v>603</v>
      </c>
      <c r="CL167" s="65">
        <f>562+84</f>
        <v>646</v>
      </c>
      <c r="CM167" s="65">
        <f>542+71</f>
        <v>613</v>
      </c>
      <c r="CN167" s="65">
        <f>536+80</f>
        <v>616</v>
      </c>
      <c r="CO167" s="65">
        <f>499+62</f>
        <v>561</v>
      </c>
      <c r="CP167" s="65">
        <v>553</v>
      </c>
      <c r="CQ167" s="65">
        <v>491</v>
      </c>
      <c r="CR167" s="55">
        <v>0.89</v>
      </c>
      <c r="CS167" s="55">
        <v>0.77</v>
      </c>
      <c r="CT167" s="55">
        <v>0.98</v>
      </c>
      <c r="CU167" s="55">
        <v>0.86</v>
      </c>
      <c r="CV167" s="55">
        <v>0.87</v>
      </c>
      <c r="CW167" s="64">
        <v>0.8</v>
      </c>
      <c r="CX167" s="64">
        <v>0.93</v>
      </c>
      <c r="CY167" s="55">
        <v>0.89</v>
      </c>
      <c r="CZ167" s="55">
        <v>0.92</v>
      </c>
      <c r="DA167" s="55">
        <v>0.9</v>
      </c>
      <c r="DB167" s="55">
        <v>0.71</v>
      </c>
      <c r="DC167" s="55">
        <v>0.87</v>
      </c>
      <c r="DD167" s="55">
        <v>0.8</v>
      </c>
      <c r="DE167" s="55">
        <v>0.88</v>
      </c>
      <c r="DF167" s="55">
        <v>0.83</v>
      </c>
      <c r="DG167" s="55">
        <v>0.76</v>
      </c>
      <c r="DH167" s="55">
        <v>0.93</v>
      </c>
      <c r="DI167" s="55">
        <v>0.68</v>
      </c>
      <c r="DJ167" s="55">
        <v>0.89</v>
      </c>
      <c r="DK167" s="55">
        <v>0.7638888888888888</v>
      </c>
      <c r="DL167" s="55">
        <v>0.88</v>
      </c>
      <c r="DM167" s="55">
        <v>0.73</v>
      </c>
      <c r="DN167" s="55">
        <v>0.9</v>
      </c>
      <c r="DO167" s="55">
        <v>0.8</v>
      </c>
      <c r="DP167" s="55">
        <v>0.7638888888888888</v>
      </c>
      <c r="DQ167" s="55">
        <v>0.6071428571428571</v>
      </c>
      <c r="DR167" s="55">
        <v>0.7564102564102564</v>
      </c>
      <c r="DS167" s="55">
        <v>0.81</v>
      </c>
      <c r="DT167" s="55">
        <v>0.73</v>
      </c>
      <c r="DU167" s="55">
        <v>0.71</v>
      </c>
      <c r="DV167" s="55">
        <v>0.83</v>
      </c>
      <c r="DW167" s="55">
        <v>0.7241379310344828</v>
      </c>
      <c r="DX167" s="55">
        <v>0.82</v>
      </c>
      <c r="DY167" s="122"/>
      <c r="DZ167" s="122"/>
      <c r="EA167" s="124">
        <v>0.622</v>
      </c>
      <c r="EB167" s="124">
        <v>1</v>
      </c>
      <c r="EC167" s="122">
        <v>0.667</v>
      </c>
      <c r="ED167" s="122">
        <v>1</v>
      </c>
      <c r="EE167" s="124">
        <v>0.725</v>
      </c>
      <c r="EF167" s="124">
        <v>1</v>
      </c>
      <c r="EG167" s="122">
        <v>0.643</v>
      </c>
      <c r="EH167" s="122">
        <v>1</v>
      </c>
      <c r="EI167" s="124">
        <v>0.744</v>
      </c>
      <c r="EJ167" s="124">
        <v>0.967</v>
      </c>
      <c r="EK167" s="122">
        <v>0.65</v>
      </c>
      <c r="EL167" s="122">
        <v>1</v>
      </c>
      <c r="EM167" s="124">
        <v>0.625</v>
      </c>
      <c r="EN167" s="124">
        <v>0.962</v>
      </c>
      <c r="EO167" s="122">
        <v>0.615</v>
      </c>
      <c r="EP167" s="122">
        <v>0.98</v>
      </c>
      <c r="EQ167" s="123">
        <v>0.743</v>
      </c>
      <c r="ER167" s="123">
        <v>0.965</v>
      </c>
      <c r="ES167" s="122">
        <v>0.474</v>
      </c>
      <c r="ET167" s="122">
        <v>1</v>
      </c>
      <c r="EU167" s="124">
        <v>0.703</v>
      </c>
      <c r="EV167" s="124">
        <v>1</v>
      </c>
      <c r="EW167" s="122">
        <v>0.6</v>
      </c>
      <c r="EX167" s="122">
        <v>0.977</v>
      </c>
      <c r="EY167" s="124">
        <v>0.713</v>
      </c>
      <c r="EZ167" s="124">
        <v>0.95</v>
      </c>
      <c r="FA167" s="122">
        <v>0.478</v>
      </c>
      <c r="FB167" s="122">
        <v>0.762</v>
      </c>
      <c r="FC167" s="124">
        <v>0.614</v>
      </c>
      <c r="FD167" s="124">
        <v>0.935</v>
      </c>
      <c r="FE167" s="122">
        <v>0.291</v>
      </c>
      <c r="FF167" s="122">
        <v>0.548</v>
      </c>
      <c r="FG167" s="124">
        <v>0.319</v>
      </c>
      <c r="FH167" s="124">
        <v>0.523</v>
      </c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  <c r="HE167" s="57"/>
      <c r="HF167" s="57"/>
      <c r="HG167" s="57"/>
      <c r="HH167" s="57"/>
      <c r="HI167" s="57"/>
      <c r="HJ167" s="57"/>
      <c r="HK167" s="57"/>
      <c r="HL167" s="57"/>
      <c r="HM167" s="57"/>
      <c r="HN167" s="57"/>
      <c r="HO167" s="57"/>
      <c r="HP167" s="57"/>
      <c r="HQ167" s="57"/>
      <c r="HR167" s="57"/>
      <c r="HS167" s="57"/>
      <c r="HT167" s="57"/>
      <c r="HU167" s="57"/>
      <c r="HV167" s="57"/>
      <c r="HW167" s="57"/>
      <c r="HX167" s="57"/>
      <c r="HY167" s="57"/>
      <c r="HZ167" s="57"/>
      <c r="IA167" s="57"/>
      <c r="IB167" s="57"/>
      <c r="IC167" s="57"/>
      <c r="ID167" s="57"/>
      <c r="IE167" s="57"/>
      <c r="IF167" s="57"/>
      <c r="IG167" s="57"/>
      <c r="IH167" s="57"/>
      <c r="II167" s="57"/>
      <c r="IJ167" s="57"/>
      <c r="IK167" s="57"/>
      <c r="IL167" s="57"/>
      <c r="IM167" s="57"/>
      <c r="IN167" s="57"/>
      <c r="IO167" s="57"/>
      <c r="IP167" s="57"/>
      <c r="IQ167" s="57"/>
      <c r="IR167" s="57"/>
      <c r="IS167" s="57"/>
      <c r="IT167" s="57"/>
      <c r="IU167" s="57"/>
      <c r="IV167" s="57"/>
    </row>
    <row r="168" spans="1:256" s="63" customFormat="1" ht="12.75">
      <c r="A168" s="47" t="s">
        <v>26</v>
      </c>
      <c r="B168" s="47" t="s">
        <v>315</v>
      </c>
      <c r="C168" s="39" t="s">
        <v>15</v>
      </c>
      <c r="D168" s="39">
        <v>5031500010</v>
      </c>
      <c r="E168" s="39">
        <v>531500007</v>
      </c>
      <c r="F168" s="28" t="s">
        <v>109</v>
      </c>
      <c r="G168" s="10" t="s">
        <v>318</v>
      </c>
      <c r="H168" s="10" t="s">
        <v>65</v>
      </c>
      <c r="I168" s="10" t="s">
        <v>166</v>
      </c>
      <c r="J168" s="10" t="s">
        <v>172</v>
      </c>
      <c r="K168" s="61"/>
      <c r="L168" s="75" t="s">
        <v>23</v>
      </c>
      <c r="M168" s="62" t="s">
        <v>21</v>
      </c>
      <c r="N168" s="62"/>
      <c r="O168" s="76"/>
      <c r="P168" s="76"/>
      <c r="Q168" s="76"/>
      <c r="R168" s="76"/>
      <c r="S168" s="76"/>
      <c r="T168" s="76"/>
      <c r="U168" s="76"/>
      <c r="V168" s="76"/>
      <c r="W168" s="62">
        <v>0.6563</v>
      </c>
      <c r="X168" s="62">
        <v>0.6428571428571429</v>
      </c>
      <c r="Y168" s="62">
        <v>0.7805</v>
      </c>
      <c r="Z168" s="62">
        <v>0.7719</v>
      </c>
      <c r="AA168" s="62">
        <v>0.6153846153846154</v>
      </c>
      <c r="AB168" s="62">
        <v>0.4783</v>
      </c>
      <c r="AC168" s="62">
        <v>0.4091</v>
      </c>
      <c r="AD168" s="62">
        <v>0.6818</v>
      </c>
      <c r="AE168" s="62">
        <v>0.7083</v>
      </c>
      <c r="AF168" s="62">
        <v>0.7273</v>
      </c>
      <c r="AG168" s="62">
        <v>0.6316</v>
      </c>
      <c r="AH168" s="62">
        <v>0.697</v>
      </c>
      <c r="AI168" s="62">
        <v>0.6923076923076923</v>
      </c>
      <c r="AJ168" s="62">
        <v>0.8367346938775511</v>
      </c>
      <c r="AK168" s="80">
        <v>0.6</v>
      </c>
      <c r="AL168" s="62">
        <v>0.8085</v>
      </c>
      <c r="AM168" s="62">
        <v>0.19607843137254902</v>
      </c>
      <c r="AN168" s="62">
        <v>0.5263157894736842</v>
      </c>
      <c r="AO168" s="62">
        <v>0.7027027027027027</v>
      </c>
      <c r="AP168" s="81">
        <v>0.7838</v>
      </c>
      <c r="AQ168" s="81">
        <v>0.625</v>
      </c>
      <c r="AR168" s="81">
        <v>0.25263157894736843</v>
      </c>
      <c r="AS168" s="81">
        <v>0.675</v>
      </c>
      <c r="AT168" s="81">
        <v>0.575</v>
      </c>
      <c r="AU168" s="81">
        <v>0.5909090909090909</v>
      </c>
      <c r="AV168" s="81">
        <v>0.6352941176470588</v>
      </c>
      <c r="AW168" s="81">
        <v>0.65</v>
      </c>
      <c r="AX168" s="81">
        <v>0.69</v>
      </c>
      <c r="AY168" s="81">
        <v>0.7123</v>
      </c>
      <c r="AZ168" s="81">
        <v>0.7</v>
      </c>
      <c r="BA168" s="81">
        <v>0.5555555555555556</v>
      </c>
      <c r="BB168" s="81">
        <v>0.6585</v>
      </c>
      <c r="BC168" s="60"/>
      <c r="BD168" s="60"/>
      <c r="BE168" s="60"/>
      <c r="BF168" s="60"/>
      <c r="BG168" s="62">
        <f>AVERAGE(W168:X168)</f>
        <v>0.6495785714285714</v>
      </c>
      <c r="BH168" s="62">
        <f>(Z168+Y168)/2</f>
        <v>0.7762</v>
      </c>
      <c r="BI168" s="62">
        <f>AVERAGE(AA168:AB168)</f>
        <v>0.5468423076923077</v>
      </c>
      <c r="BJ168" s="62">
        <f>AVERAGE(AC168:AD168)</f>
        <v>0.54545</v>
      </c>
      <c r="BK168" s="62">
        <f>AVERAGE(AE168:AF168)</f>
        <v>0.7178</v>
      </c>
      <c r="BL168" s="62">
        <f>AVERAGE(AG168:AH168)</f>
        <v>0.6643</v>
      </c>
      <c r="BM168" s="62">
        <f>AVERAGE(AI168:AJ168)</f>
        <v>0.7645211930926217</v>
      </c>
      <c r="BN168" s="62">
        <f>AVERAGE(AK168:AL168)</f>
        <v>0.70425</v>
      </c>
      <c r="BO168" s="62">
        <f t="shared" si="48"/>
        <v>0.3611971104231166</v>
      </c>
      <c r="BP168" s="62">
        <f t="shared" si="48"/>
        <v>0.6145092460881935</v>
      </c>
      <c r="BQ168" s="62">
        <f t="shared" si="48"/>
        <v>0.7432513513513515</v>
      </c>
      <c r="BR168" s="62">
        <f t="shared" si="48"/>
        <v>0.7044</v>
      </c>
      <c r="BS168" s="62">
        <f t="shared" si="48"/>
        <v>0.4388157894736842</v>
      </c>
      <c r="BT168" s="62">
        <f t="shared" si="48"/>
        <v>0.46381578947368424</v>
      </c>
      <c r="BU168" s="62">
        <f>AVERAGE(AY168:AZ168)</f>
        <v>0.70615</v>
      </c>
      <c r="BV168" s="62">
        <f t="shared" si="47"/>
        <v>0.6070277777777777</v>
      </c>
      <c r="BW168" s="61">
        <v>32</v>
      </c>
      <c r="BX168" s="54">
        <v>112</v>
      </c>
      <c r="BY168" s="54">
        <v>164</v>
      </c>
      <c r="BZ168" s="54">
        <v>236</v>
      </c>
      <c r="CA168" s="54">
        <v>313</v>
      </c>
      <c r="CB168" s="54">
        <v>303</v>
      </c>
      <c r="CC168" s="54">
        <v>336</v>
      </c>
      <c r="CD168" s="44">
        <v>331</v>
      </c>
      <c r="CE168" s="54">
        <v>369</v>
      </c>
      <c r="CF168" s="54">
        <v>377</v>
      </c>
      <c r="CG168" s="54">
        <f>309+41</f>
        <v>350</v>
      </c>
      <c r="CH168" s="54">
        <f>300+39</f>
        <v>339</v>
      </c>
      <c r="CI168" s="54">
        <f>325+40</f>
        <v>365</v>
      </c>
      <c r="CJ168" s="54">
        <f>345+40</f>
        <v>385</v>
      </c>
      <c r="CK168" s="54">
        <f>365+41</f>
        <v>406</v>
      </c>
      <c r="CL168" s="54">
        <f>389+43</f>
        <v>432</v>
      </c>
      <c r="CM168" s="54">
        <f>426+42</f>
        <v>468</v>
      </c>
      <c r="CN168" s="54">
        <f>446+38</f>
        <v>484</v>
      </c>
      <c r="CO168" s="54">
        <f>386+38</f>
        <v>424</v>
      </c>
      <c r="CP168" s="54">
        <v>413</v>
      </c>
      <c r="CQ168" s="54">
        <v>365</v>
      </c>
      <c r="CR168" s="55">
        <v>0.79</v>
      </c>
      <c r="CS168" s="55">
        <v>0.81</v>
      </c>
      <c r="CT168" s="55">
        <v>0.76</v>
      </c>
      <c r="CU168" s="55">
        <v>0.68</v>
      </c>
      <c r="CV168" s="55">
        <v>0.88</v>
      </c>
      <c r="CW168" s="64">
        <v>0.68</v>
      </c>
      <c r="CX168" s="64">
        <v>0.79</v>
      </c>
      <c r="CY168" s="55">
        <v>0.81</v>
      </c>
      <c r="CZ168" s="55">
        <v>0.88</v>
      </c>
      <c r="DA168" s="55">
        <v>0.88</v>
      </c>
      <c r="DB168" s="55">
        <v>0.79</v>
      </c>
      <c r="DC168" s="55">
        <v>0.92</v>
      </c>
      <c r="DD168" s="55">
        <v>0.92</v>
      </c>
      <c r="DE168" s="55">
        <v>0.86</v>
      </c>
      <c r="DF168" s="55">
        <v>0.84</v>
      </c>
      <c r="DG168" s="55">
        <v>0.83</v>
      </c>
      <c r="DH168" s="55">
        <v>0.96</v>
      </c>
      <c r="DI168" s="55">
        <v>0.9</v>
      </c>
      <c r="DJ168" s="55">
        <v>0.9</v>
      </c>
      <c r="DK168" s="55">
        <v>0.75</v>
      </c>
      <c r="DL168" s="55">
        <v>0.88</v>
      </c>
      <c r="DM168" s="55">
        <v>0.75</v>
      </c>
      <c r="DN168" s="55">
        <v>0.86</v>
      </c>
      <c r="DO168" s="55">
        <v>0.675</v>
      </c>
      <c r="DP168" s="55">
        <v>0.8767123287671232</v>
      </c>
      <c r="DQ168" s="55">
        <v>0.8</v>
      </c>
      <c r="DR168" s="55">
        <v>0.8395061728395061</v>
      </c>
      <c r="DS168" s="55">
        <v>0.78</v>
      </c>
      <c r="DT168" s="55">
        <v>0.89</v>
      </c>
      <c r="DU168" s="55">
        <v>0.81</v>
      </c>
      <c r="DV168" s="55">
        <v>0.84</v>
      </c>
      <c r="DW168" s="55">
        <v>0.625</v>
      </c>
      <c r="DX168" s="55">
        <v>0.71</v>
      </c>
      <c r="DY168" s="122">
        <v>0.898</v>
      </c>
      <c r="DZ168" s="122">
        <v>1</v>
      </c>
      <c r="EA168" s="124">
        <v>0.72</v>
      </c>
      <c r="EB168" s="124">
        <v>1</v>
      </c>
      <c r="EC168" s="122">
        <v>0.809</v>
      </c>
      <c r="ED168" s="122">
        <v>0.927</v>
      </c>
      <c r="EE168" s="124">
        <v>0.275</v>
      </c>
      <c r="EF168" s="124">
        <v>1</v>
      </c>
      <c r="EG168" s="122">
        <v>0.816</v>
      </c>
      <c r="EH168" s="122">
        <v>1</v>
      </c>
      <c r="EI168" s="124">
        <v>0.676</v>
      </c>
      <c r="EJ168" s="124">
        <v>0.893</v>
      </c>
      <c r="EK168" s="122">
        <v>0.811</v>
      </c>
      <c r="EL168" s="122">
        <v>1</v>
      </c>
      <c r="EM168" s="124">
        <v>0.75</v>
      </c>
      <c r="EN168" s="124">
        <v>0.968</v>
      </c>
      <c r="EO168" s="122">
        <v>0.274</v>
      </c>
      <c r="EP168" s="122">
        <v>1</v>
      </c>
      <c r="EQ168" s="123">
        <v>0.8</v>
      </c>
      <c r="ER168" s="123">
        <v>1</v>
      </c>
      <c r="ES168" s="122">
        <v>0.725</v>
      </c>
      <c r="ET168" s="122">
        <v>1</v>
      </c>
      <c r="EU168" s="124">
        <v>0.636</v>
      </c>
      <c r="EV168" s="124">
        <v>0.903</v>
      </c>
      <c r="EW168" s="122">
        <v>0.682</v>
      </c>
      <c r="EX168" s="122">
        <v>1</v>
      </c>
      <c r="EY168" s="124">
        <v>0.575</v>
      </c>
      <c r="EZ168" s="124">
        <v>0.885</v>
      </c>
      <c r="FA168" s="122">
        <v>0.781</v>
      </c>
      <c r="FB168" s="122">
        <v>1</v>
      </c>
      <c r="FC168" s="124">
        <v>0.575</v>
      </c>
      <c r="FD168" s="124">
        <v>0.958</v>
      </c>
      <c r="FE168" s="122">
        <v>0.479</v>
      </c>
      <c r="FF168" s="122">
        <v>0.593</v>
      </c>
      <c r="FG168" s="124">
        <v>0.6</v>
      </c>
      <c r="FH168" s="124">
        <v>0.8</v>
      </c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  <c r="II168" s="57"/>
      <c r="IJ168" s="57"/>
      <c r="IK168" s="57"/>
      <c r="IL168" s="57"/>
      <c r="IM168" s="57"/>
      <c r="IN168" s="57"/>
      <c r="IO168" s="57"/>
      <c r="IP168" s="57"/>
      <c r="IQ168" s="57"/>
      <c r="IR168" s="57"/>
      <c r="IS168" s="57"/>
      <c r="IT168" s="57"/>
      <c r="IU168" s="57"/>
      <c r="IV168" s="57"/>
    </row>
    <row r="169" spans="1:256" s="63" customFormat="1" ht="12.75">
      <c r="A169" s="47" t="s">
        <v>26</v>
      </c>
      <c r="B169" s="47" t="s">
        <v>315</v>
      </c>
      <c r="C169" s="39" t="s">
        <v>15</v>
      </c>
      <c r="D169" s="39">
        <v>5011500001</v>
      </c>
      <c r="E169" s="39">
        <v>511000003</v>
      </c>
      <c r="F169" s="28" t="s">
        <v>264</v>
      </c>
      <c r="G169" s="10" t="s">
        <v>318</v>
      </c>
      <c r="H169" s="10" t="s">
        <v>66</v>
      </c>
      <c r="I169" s="10" t="s">
        <v>8</v>
      </c>
      <c r="J169" s="10" t="s">
        <v>173</v>
      </c>
      <c r="K169" s="61">
        <v>1</v>
      </c>
      <c r="L169" s="75" t="s">
        <v>23</v>
      </c>
      <c r="M169" s="62" t="s">
        <v>21</v>
      </c>
      <c r="N169" s="62"/>
      <c r="O169" s="76"/>
      <c r="P169" s="76"/>
      <c r="Q169" s="76"/>
      <c r="R169" s="76"/>
      <c r="S169" s="76"/>
      <c r="T169" s="76"/>
      <c r="U169" s="76"/>
      <c r="V169" s="76"/>
      <c r="W169" s="62">
        <v>0.6</v>
      </c>
      <c r="X169" s="62">
        <v>0.5859000000000001</v>
      </c>
      <c r="Y169" s="62">
        <v>0.6939</v>
      </c>
      <c r="Z169" s="62">
        <v>0.5738</v>
      </c>
      <c r="AA169" s="62">
        <v>0.64</v>
      </c>
      <c r="AB169" s="62">
        <v>0.7333</v>
      </c>
      <c r="AC169" s="62">
        <v>0.6522</v>
      </c>
      <c r="AD169" s="62">
        <v>0.7241</v>
      </c>
      <c r="AE169" s="62">
        <v>0.7292</v>
      </c>
      <c r="AF169" s="62">
        <v>0.814</v>
      </c>
      <c r="AG169" s="62">
        <v>0.6531</v>
      </c>
      <c r="AH169" s="62">
        <v>0.6705</v>
      </c>
      <c r="AI169" s="62">
        <v>0.8421052631578947</v>
      </c>
      <c r="AJ169" s="62">
        <v>0.6621621621621622</v>
      </c>
      <c r="AK169" s="80">
        <v>0.525</v>
      </c>
      <c r="AL169" s="62">
        <v>0.625</v>
      </c>
      <c r="AM169" s="62">
        <v>0.7027</v>
      </c>
      <c r="AN169" s="62">
        <v>0.5833333333333334</v>
      </c>
      <c r="AO169" s="62">
        <v>0.6410256410256411</v>
      </c>
      <c r="AP169" s="81">
        <v>0.6197</v>
      </c>
      <c r="AQ169" s="81">
        <v>0.6590909090909091</v>
      </c>
      <c r="AR169" s="81">
        <v>0.5822784810126582</v>
      </c>
      <c r="AS169" s="81">
        <v>0.4418604651162791</v>
      </c>
      <c r="AT169" s="81">
        <v>0.6865671641791045</v>
      </c>
      <c r="AU169" s="81">
        <v>0.6904761904761905</v>
      </c>
      <c r="AV169" s="81">
        <v>0.6865671641791045</v>
      </c>
      <c r="AW169" s="81">
        <v>0.6944</v>
      </c>
      <c r="AX169" s="81">
        <v>0.5882</v>
      </c>
      <c r="AY169" s="81">
        <v>0.6923</v>
      </c>
      <c r="AZ169" s="81">
        <v>0.5385</v>
      </c>
      <c r="BA169" s="81">
        <v>0.7777777777777778</v>
      </c>
      <c r="BB169" s="81">
        <v>0.65</v>
      </c>
      <c r="BC169" s="60"/>
      <c r="BD169" s="60"/>
      <c r="BE169" s="60"/>
      <c r="BF169" s="60"/>
      <c r="BG169" s="62">
        <f>AVERAGE(W169:X169)</f>
        <v>0.5929500000000001</v>
      </c>
      <c r="BH169" s="62">
        <f>(Z169+Y169)/2</f>
        <v>0.63385</v>
      </c>
      <c r="BI169" s="62">
        <f>AVERAGE(AA169:AB169)</f>
        <v>0.68665</v>
      </c>
      <c r="BJ169" s="62">
        <f>AVERAGE(AC169:AD169)</f>
        <v>0.68815</v>
      </c>
      <c r="BK169" s="62">
        <f>AVERAGE(AE169:AF169)</f>
        <v>0.7716</v>
      </c>
      <c r="BL169" s="62">
        <f>AVERAGE(AG169:AH169)</f>
        <v>0.6617999999999999</v>
      </c>
      <c r="BM169" s="62">
        <f>AVERAGE(AI169:AJ169)</f>
        <v>0.7521337126600285</v>
      </c>
      <c r="BN169" s="62">
        <f>AVERAGE(AK169:AL169)</f>
        <v>0.575</v>
      </c>
      <c r="BO169" s="62">
        <f t="shared" si="48"/>
        <v>0.6430166666666667</v>
      </c>
      <c r="BP169" s="62">
        <f t="shared" si="48"/>
        <v>0.6121794871794872</v>
      </c>
      <c r="BQ169" s="62">
        <f t="shared" si="48"/>
        <v>0.6303628205128206</v>
      </c>
      <c r="BR169" s="62">
        <f t="shared" si="48"/>
        <v>0.6393954545454545</v>
      </c>
      <c r="BS169" s="62">
        <f t="shared" si="48"/>
        <v>0.6206846950517837</v>
      </c>
      <c r="BT169" s="62">
        <f t="shared" si="48"/>
        <v>0.5120694730644686</v>
      </c>
      <c r="BU169" s="62">
        <f>AVERAGE(AY169:AZ169)</f>
        <v>0.6154</v>
      </c>
      <c r="BV169" s="62">
        <f t="shared" si="47"/>
        <v>0.7138888888888889</v>
      </c>
      <c r="BW169" s="61">
        <v>45</v>
      </c>
      <c r="BX169" s="54">
        <v>181</v>
      </c>
      <c r="BY169" s="54">
        <v>302</v>
      </c>
      <c r="BZ169" s="54">
        <v>369</v>
      </c>
      <c r="CA169" s="54">
        <v>491</v>
      </c>
      <c r="CB169" s="54">
        <v>525</v>
      </c>
      <c r="CC169" s="54">
        <v>534</v>
      </c>
      <c r="CD169" s="44">
        <v>515</v>
      </c>
      <c r="CE169" s="54">
        <v>517</v>
      </c>
      <c r="CF169" s="54">
        <v>493</v>
      </c>
      <c r="CG169" s="54">
        <f>464+45</f>
        <v>509</v>
      </c>
      <c r="CH169" s="54">
        <f>451+43</f>
        <v>494</v>
      </c>
      <c r="CI169" s="54">
        <f>419+42</f>
        <v>461</v>
      </c>
      <c r="CJ169" s="54">
        <f>427+37</f>
        <v>464</v>
      </c>
      <c r="CK169" s="54">
        <f>424+41</f>
        <v>465</v>
      </c>
      <c r="CL169" s="54">
        <f>437+39</f>
        <v>476</v>
      </c>
      <c r="CM169" s="54">
        <f>447+44</f>
        <v>491</v>
      </c>
      <c r="CN169" s="54">
        <f>448+41</f>
        <v>489</v>
      </c>
      <c r="CO169" s="54">
        <f>446+40</f>
        <v>486</v>
      </c>
      <c r="CP169" s="54">
        <v>440</v>
      </c>
      <c r="CQ169" s="54">
        <v>402</v>
      </c>
      <c r="CR169" s="55">
        <v>0.78</v>
      </c>
      <c r="CS169" s="55">
        <v>0.7</v>
      </c>
      <c r="CT169" s="55">
        <v>0.87</v>
      </c>
      <c r="CU169" s="55">
        <v>0.82</v>
      </c>
      <c r="CV169" s="55">
        <v>0.88</v>
      </c>
      <c r="CW169" s="64">
        <v>0.9</v>
      </c>
      <c r="CX169" s="64">
        <v>0.89</v>
      </c>
      <c r="CY169" s="55">
        <v>0.92</v>
      </c>
      <c r="CZ169" s="55">
        <v>0.92</v>
      </c>
      <c r="DA169" s="55">
        <v>0.8</v>
      </c>
      <c r="DB169" s="55">
        <v>0.82</v>
      </c>
      <c r="DC169" s="55">
        <v>0.78</v>
      </c>
      <c r="DD169" s="55">
        <v>0.9</v>
      </c>
      <c r="DE169" s="55">
        <v>0.79</v>
      </c>
      <c r="DF169" s="55">
        <v>0.76</v>
      </c>
      <c r="DG169" s="55">
        <v>0.75</v>
      </c>
      <c r="DH169" s="55">
        <v>0.87</v>
      </c>
      <c r="DI169" s="55">
        <v>0.56</v>
      </c>
      <c r="DJ169" s="55">
        <v>0.91</v>
      </c>
      <c r="DK169" s="55">
        <v>0.8333333333333334</v>
      </c>
      <c r="DL169" s="55">
        <v>0.82</v>
      </c>
      <c r="DM169" s="55">
        <v>0.92</v>
      </c>
      <c r="DN169" s="55">
        <v>0.87</v>
      </c>
      <c r="DO169" s="55">
        <v>0.8205128205128205</v>
      </c>
      <c r="DP169" s="55">
        <v>0.8823529411764706</v>
      </c>
      <c r="DQ169" s="55">
        <v>0.7435897435897436</v>
      </c>
      <c r="DR169" s="55">
        <v>0.875</v>
      </c>
      <c r="DS169" s="55">
        <v>0.88</v>
      </c>
      <c r="DT169" s="55">
        <v>0.88</v>
      </c>
      <c r="DU169" s="55">
        <v>0.83</v>
      </c>
      <c r="DV169" s="55">
        <v>0.85</v>
      </c>
      <c r="DW169" s="55">
        <v>0.868421052631579</v>
      </c>
      <c r="DX169" s="55">
        <v>0.91</v>
      </c>
      <c r="DY169" s="122">
        <v>0.811</v>
      </c>
      <c r="DZ169" s="122">
        <v>1</v>
      </c>
      <c r="EA169" s="124">
        <v>0.625</v>
      </c>
      <c r="EB169" s="124">
        <v>1</v>
      </c>
      <c r="EC169" s="122">
        <v>0.694</v>
      </c>
      <c r="ED169" s="122">
        <v>0.943</v>
      </c>
      <c r="EE169" s="124">
        <v>0.703</v>
      </c>
      <c r="EF169" s="124">
        <v>0.929</v>
      </c>
      <c r="EG169" s="122">
        <v>0.708</v>
      </c>
      <c r="EH169" s="122">
        <v>1</v>
      </c>
      <c r="EI169" s="124">
        <v>0.718</v>
      </c>
      <c r="EJ169" s="124">
        <v>1</v>
      </c>
      <c r="EK169" s="122">
        <v>0.662</v>
      </c>
      <c r="EL169" s="122">
        <v>0.979</v>
      </c>
      <c r="EM169" s="124">
        <v>0.705</v>
      </c>
      <c r="EN169" s="124">
        <v>1</v>
      </c>
      <c r="EO169" s="122">
        <v>0.684</v>
      </c>
      <c r="EP169" s="122">
        <v>1</v>
      </c>
      <c r="EQ169" s="123">
        <v>0.488</v>
      </c>
      <c r="ER169" s="123">
        <v>0.913</v>
      </c>
      <c r="ES169" s="122">
        <v>0.776</v>
      </c>
      <c r="ET169" s="122">
        <v>1</v>
      </c>
      <c r="EU169" s="124">
        <v>0.762</v>
      </c>
      <c r="EV169" s="124">
        <v>1</v>
      </c>
      <c r="EW169" s="122">
        <v>0.806</v>
      </c>
      <c r="EX169" s="122">
        <v>1</v>
      </c>
      <c r="EY169" s="124">
        <v>0.75</v>
      </c>
      <c r="EZ169" s="124">
        <v>0.9</v>
      </c>
      <c r="FA169" s="122">
        <v>0.676</v>
      </c>
      <c r="FB169" s="122">
        <v>0.958</v>
      </c>
      <c r="FC169" s="124">
        <v>0.641</v>
      </c>
      <c r="FD169" s="124">
        <v>0.926</v>
      </c>
      <c r="FE169" s="122">
        <v>0.647</v>
      </c>
      <c r="FF169" s="122">
        <v>0.8</v>
      </c>
      <c r="FG169" s="124">
        <v>0.487</v>
      </c>
      <c r="FH169" s="124">
        <v>0.731</v>
      </c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  <c r="IU169" s="57"/>
      <c r="IV169" s="57"/>
    </row>
    <row r="170" spans="1:256" s="63" customFormat="1" ht="12.75">
      <c r="A170" s="47" t="s">
        <v>26</v>
      </c>
      <c r="B170" s="47" t="s">
        <v>315</v>
      </c>
      <c r="C170" s="39" t="s">
        <v>15</v>
      </c>
      <c r="D170" s="39">
        <v>5032100004</v>
      </c>
      <c r="E170" s="39">
        <v>532100002</v>
      </c>
      <c r="F170" s="46" t="s">
        <v>265</v>
      </c>
      <c r="G170" s="10" t="s">
        <v>318</v>
      </c>
      <c r="H170" s="10" t="s">
        <v>66</v>
      </c>
      <c r="I170" s="10" t="s">
        <v>166</v>
      </c>
      <c r="J170" s="10" t="s">
        <v>172</v>
      </c>
      <c r="K170" s="61"/>
      <c r="L170" s="75" t="s">
        <v>21</v>
      </c>
      <c r="M170" s="62" t="s">
        <v>21</v>
      </c>
      <c r="N170" s="62"/>
      <c r="O170" s="76"/>
      <c r="P170" s="76"/>
      <c r="Q170" s="76"/>
      <c r="R170" s="76"/>
      <c r="S170" s="76"/>
      <c r="T170" s="76"/>
      <c r="U170" s="76"/>
      <c r="V170" s="76"/>
      <c r="W170" s="62">
        <v>0.7234</v>
      </c>
      <c r="X170" s="62">
        <v>0.6106</v>
      </c>
      <c r="Y170" s="62">
        <v>0.6495</v>
      </c>
      <c r="Z170" s="62">
        <v>0.5116</v>
      </c>
      <c r="AA170" s="62">
        <v>0.48148148148148145</v>
      </c>
      <c r="AB170" s="62">
        <v>0.56</v>
      </c>
      <c r="AC170" s="62">
        <v>0.7619</v>
      </c>
      <c r="AD170" s="62">
        <v>0.6354</v>
      </c>
      <c r="AE170" s="62">
        <v>0.7358490566037735</v>
      </c>
      <c r="AF170" s="62">
        <v>0.54</v>
      </c>
      <c r="AG170" s="62">
        <v>0.5918</v>
      </c>
      <c r="AH170" s="62">
        <v>0.6</v>
      </c>
      <c r="AI170" s="62">
        <v>0.30985915492957744</v>
      </c>
      <c r="AJ170" s="62">
        <v>0.6323529411764706</v>
      </c>
      <c r="AK170" s="80">
        <v>0.5806</v>
      </c>
      <c r="AL170" s="62">
        <v>0.4559</v>
      </c>
      <c r="AM170" s="62">
        <v>0.4643</v>
      </c>
      <c r="AN170" s="62">
        <v>0.4666666666666667</v>
      </c>
      <c r="AO170" s="62">
        <v>0.5161290322580645</v>
      </c>
      <c r="AP170" s="81">
        <v>0.4754</v>
      </c>
      <c r="AQ170" s="81">
        <v>0.5645161290322581</v>
      </c>
      <c r="AR170" s="81">
        <v>0.4074074074074074</v>
      </c>
      <c r="AS170" s="81">
        <v>0.6</v>
      </c>
      <c r="AT170" s="81">
        <v>0.49230769230769234</v>
      </c>
      <c r="AU170" s="81">
        <v>0.7049180327868853</v>
      </c>
      <c r="AV170" s="81">
        <v>0.5769230769230769</v>
      </c>
      <c r="AW170" s="81">
        <v>0.459</v>
      </c>
      <c r="AX170" s="81">
        <v>0.5342</v>
      </c>
      <c r="AY170" s="81">
        <v>0.5625</v>
      </c>
      <c r="AZ170" s="81">
        <v>0.7273</v>
      </c>
      <c r="BA170" s="81">
        <v>0.6582278481012658</v>
      </c>
      <c r="BB170" s="81">
        <v>0.3333</v>
      </c>
      <c r="BC170" s="60"/>
      <c r="BD170" s="60"/>
      <c r="BE170" s="60"/>
      <c r="BF170" s="60"/>
      <c r="BG170" s="62">
        <f>AVERAGE(W170:X170)</f>
        <v>0.667</v>
      </c>
      <c r="BH170" s="62">
        <f>(Z170+Y170)/2</f>
        <v>0.58055</v>
      </c>
      <c r="BI170" s="62">
        <f>AVERAGE(AA170:AB170)</f>
        <v>0.5207407407407407</v>
      </c>
      <c r="BJ170" s="62">
        <f>AVERAGE(AC170:AD170)</f>
        <v>0.69865</v>
      </c>
      <c r="BK170" s="62">
        <f>AVERAGE(AE170:AF170)</f>
        <v>0.6379245283018868</v>
      </c>
      <c r="BL170" s="62">
        <f>AVERAGE(AG170:AH170)</f>
        <v>0.5959</v>
      </c>
      <c r="BM170" s="62">
        <f>AVERAGE(AI170:AJ170)</f>
        <v>0.47110604805302403</v>
      </c>
      <c r="BN170" s="62">
        <f>AVERAGE(AK170:AL170)</f>
        <v>0.51825</v>
      </c>
      <c r="BO170" s="62">
        <f t="shared" si="48"/>
        <v>0.46548333333333336</v>
      </c>
      <c r="BP170" s="62">
        <f t="shared" si="48"/>
        <v>0.4913978494623656</v>
      </c>
      <c r="BQ170" s="62">
        <f t="shared" si="48"/>
        <v>0.4957645161290323</v>
      </c>
      <c r="BR170" s="62">
        <f t="shared" si="48"/>
        <v>0.519958064516129</v>
      </c>
      <c r="BS170" s="62">
        <f t="shared" si="48"/>
        <v>0.4859617682198327</v>
      </c>
      <c r="BT170" s="62">
        <f t="shared" si="48"/>
        <v>0.5037037037037037</v>
      </c>
      <c r="BU170" s="62">
        <f>AVERAGE(AY170:AZ170)</f>
        <v>0.6449</v>
      </c>
      <c r="BV170" s="62">
        <f t="shared" si="47"/>
        <v>0.49576392405063285</v>
      </c>
      <c r="BW170" s="61">
        <v>47</v>
      </c>
      <c r="BX170" s="54">
        <v>252</v>
      </c>
      <c r="BY170" s="54">
        <v>387</v>
      </c>
      <c r="BZ170" s="54">
        <v>450</v>
      </c>
      <c r="CA170" s="54">
        <v>586</v>
      </c>
      <c r="CB170" s="54">
        <v>584</v>
      </c>
      <c r="CC170" s="65">
        <v>544</v>
      </c>
      <c r="CD170" s="45">
        <v>528</v>
      </c>
      <c r="CE170" s="65">
        <v>521</v>
      </c>
      <c r="CF170" s="65">
        <v>462</v>
      </c>
      <c r="CG170" s="65">
        <f>427+65</f>
        <v>492</v>
      </c>
      <c r="CH170" s="65">
        <f>457+60</f>
        <v>517</v>
      </c>
      <c r="CI170" s="65">
        <f>441+61</f>
        <v>502</v>
      </c>
      <c r="CJ170" s="65">
        <f>489+61</f>
        <v>550</v>
      </c>
      <c r="CK170" s="65">
        <f>521+85</f>
        <v>606</v>
      </c>
      <c r="CL170" s="65">
        <f>555+80</f>
        <v>635</v>
      </c>
      <c r="CM170" s="65">
        <f>603+82</f>
        <v>685</v>
      </c>
      <c r="CN170" s="65">
        <v>394</v>
      </c>
      <c r="CO170" s="65">
        <v>283</v>
      </c>
      <c r="CP170" s="65">
        <v>158</v>
      </c>
      <c r="CQ170" s="65">
        <v>9</v>
      </c>
      <c r="CR170" s="55">
        <v>0.79</v>
      </c>
      <c r="CS170" s="55">
        <v>0.78</v>
      </c>
      <c r="CT170" s="55">
        <v>0.91</v>
      </c>
      <c r="CU170" s="55">
        <v>0.83</v>
      </c>
      <c r="CV170" s="55">
        <v>0.9</v>
      </c>
      <c r="CW170" s="64">
        <v>0.86</v>
      </c>
      <c r="CX170" s="64">
        <v>0.92</v>
      </c>
      <c r="CY170" s="55">
        <v>0.9</v>
      </c>
      <c r="CZ170" s="55">
        <v>0.94</v>
      </c>
      <c r="DA170" s="55">
        <v>0.92</v>
      </c>
      <c r="DB170" s="55">
        <v>0.82</v>
      </c>
      <c r="DC170" s="55">
        <v>0.75</v>
      </c>
      <c r="DD170" s="55">
        <v>0.92</v>
      </c>
      <c r="DE170" s="55">
        <v>0.87</v>
      </c>
      <c r="DF170" s="55">
        <v>0.85</v>
      </c>
      <c r="DG170" s="55">
        <v>0.82</v>
      </c>
      <c r="DH170" s="55">
        <v>0.91</v>
      </c>
      <c r="DI170" s="55">
        <v>0.95</v>
      </c>
      <c r="DJ170" s="55">
        <v>0.82</v>
      </c>
      <c r="DK170" s="55">
        <v>0.8852459016393442</v>
      </c>
      <c r="DL170" s="55">
        <v>0.86</v>
      </c>
      <c r="DM170" s="55">
        <v>0.89</v>
      </c>
      <c r="DN170" s="55">
        <v>0.88</v>
      </c>
      <c r="DO170" s="55">
        <v>0.875</v>
      </c>
      <c r="DP170" s="55">
        <v>0.9090909090909091</v>
      </c>
      <c r="DQ170" s="55">
        <v>0.9367088607594937</v>
      </c>
      <c r="DR170" s="55">
        <v>0.7654320987654321</v>
      </c>
      <c r="DS170" s="55">
        <v>0.87</v>
      </c>
      <c r="DT170" s="130"/>
      <c r="DU170" s="130"/>
      <c r="DV170" s="130"/>
      <c r="DW170" s="130"/>
      <c r="DX170" s="130"/>
      <c r="DY170" s="122">
        <v>0.761</v>
      </c>
      <c r="DZ170" s="122">
        <v>1</v>
      </c>
      <c r="EA170" s="124">
        <v>0.809</v>
      </c>
      <c r="EB170" s="124">
        <v>1</v>
      </c>
      <c r="EC170" s="122">
        <v>0.661</v>
      </c>
      <c r="ED170" s="122">
        <v>0.911</v>
      </c>
      <c r="EE170" s="124">
        <v>0.721</v>
      </c>
      <c r="EF170" s="124">
        <v>1</v>
      </c>
      <c r="EG170" s="122">
        <v>0.643</v>
      </c>
      <c r="EH170" s="122">
        <v>0.947</v>
      </c>
      <c r="EI170" s="124">
        <v>0.733</v>
      </c>
      <c r="EJ170" s="124">
        <v>0.957</v>
      </c>
      <c r="EK170" s="122">
        <v>0.581</v>
      </c>
      <c r="EL170" s="122">
        <v>0.818</v>
      </c>
      <c r="EM170" s="124">
        <v>0.689</v>
      </c>
      <c r="EN170" s="124">
        <v>0.977</v>
      </c>
      <c r="EO170" s="122">
        <v>0.694</v>
      </c>
      <c r="EP170" s="122">
        <v>0.935</v>
      </c>
      <c r="EQ170" s="123">
        <v>0.704</v>
      </c>
      <c r="ER170" s="123">
        <v>0.927</v>
      </c>
      <c r="ES170" s="122">
        <v>0.9</v>
      </c>
      <c r="ET170" s="122">
        <v>1</v>
      </c>
      <c r="EU170" s="124">
        <v>0.631</v>
      </c>
      <c r="EV170" s="124">
        <v>1</v>
      </c>
      <c r="EW170" s="122">
        <v>0.738</v>
      </c>
      <c r="EX170" s="122">
        <v>0.918</v>
      </c>
      <c r="EY170" s="124">
        <v>0.705</v>
      </c>
      <c r="EZ170" s="124">
        <v>1</v>
      </c>
      <c r="FA170" s="122">
        <v>0.557</v>
      </c>
      <c r="FB170" s="122">
        <v>0.791</v>
      </c>
      <c r="FC170" s="124">
        <v>0.548</v>
      </c>
      <c r="FD170" s="124">
        <v>0.714</v>
      </c>
      <c r="FE170" s="122">
        <v>0.488</v>
      </c>
      <c r="FF170" s="122">
        <v>0.661</v>
      </c>
      <c r="FG170" s="124">
        <v>0.312</v>
      </c>
      <c r="FH170" s="124">
        <v>0.381</v>
      </c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  <c r="IU170" s="57"/>
      <c r="IV170" s="57"/>
    </row>
    <row r="171" spans="1:256" s="63" customFormat="1" ht="12.75">
      <c r="A171" s="47" t="s">
        <v>26</v>
      </c>
      <c r="B171" s="47" t="s">
        <v>315</v>
      </c>
      <c r="C171" s="39" t="s">
        <v>15</v>
      </c>
      <c r="D171" s="39">
        <v>5032100017</v>
      </c>
      <c r="E171" s="39">
        <v>532100041</v>
      </c>
      <c r="F171" s="28" t="s">
        <v>110</v>
      </c>
      <c r="G171" s="10" t="s">
        <v>318</v>
      </c>
      <c r="H171" s="10"/>
      <c r="I171" s="10"/>
      <c r="J171" s="10"/>
      <c r="K171" s="61"/>
      <c r="L171" s="75"/>
      <c r="M171" s="62"/>
      <c r="N171" s="62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 t="s">
        <v>211</v>
      </c>
      <c r="AV171" s="76" t="s">
        <v>211</v>
      </c>
      <c r="AW171" s="76"/>
      <c r="AX171" s="76"/>
      <c r="AY171" s="76"/>
      <c r="AZ171" s="76"/>
      <c r="BA171" s="76"/>
      <c r="BB171" s="76"/>
      <c r="BC171" s="60"/>
      <c r="BD171" s="60"/>
      <c r="BE171" s="60"/>
      <c r="BF171" s="60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1"/>
      <c r="BX171" s="54"/>
      <c r="BY171" s="54"/>
      <c r="BZ171" s="54"/>
      <c r="CA171" s="54"/>
      <c r="CB171" s="54"/>
      <c r="CC171" s="65"/>
      <c r="CD171" s="4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>
        <f>213+80</f>
        <v>293</v>
      </c>
      <c r="CO171" s="65">
        <f>347+82</f>
        <v>429</v>
      </c>
      <c r="CP171" s="65">
        <v>537</v>
      </c>
      <c r="CQ171" s="65">
        <v>560</v>
      </c>
      <c r="CR171" s="55"/>
      <c r="CS171" s="55"/>
      <c r="CT171" s="55"/>
      <c r="CU171" s="55"/>
      <c r="CV171" s="55"/>
      <c r="CW171" s="64"/>
      <c r="CX171" s="64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143"/>
      <c r="DO171" s="143"/>
      <c r="DP171" s="143"/>
      <c r="DQ171" s="143"/>
      <c r="DR171" s="143"/>
      <c r="DS171" s="143"/>
      <c r="DT171" s="55">
        <v>0.84</v>
      </c>
      <c r="DU171" s="55">
        <v>0.79</v>
      </c>
      <c r="DV171" s="55">
        <v>0.76</v>
      </c>
      <c r="DW171" s="55">
        <v>0.825</v>
      </c>
      <c r="DX171" s="55">
        <v>0.74</v>
      </c>
      <c r="DY171" s="122"/>
      <c r="DZ171" s="122"/>
      <c r="EA171" s="124"/>
      <c r="EB171" s="124"/>
      <c r="EC171" s="122"/>
      <c r="ED171" s="122"/>
      <c r="EE171" s="124"/>
      <c r="EF171" s="124"/>
      <c r="EG171" s="122"/>
      <c r="EH171" s="122"/>
      <c r="EI171" s="124"/>
      <c r="EJ171" s="124"/>
      <c r="EK171" s="122"/>
      <c r="EL171" s="122"/>
      <c r="EM171" s="124"/>
      <c r="EN171" s="124"/>
      <c r="EO171" s="122"/>
      <c r="EP171" s="122"/>
      <c r="EQ171" s="123"/>
      <c r="ER171" s="123"/>
      <c r="ES171" s="122"/>
      <c r="ET171" s="122"/>
      <c r="EU171" s="124"/>
      <c r="EV171" s="124"/>
      <c r="EW171" s="122"/>
      <c r="EX171" s="122"/>
      <c r="EY171" s="124" t="s">
        <v>301</v>
      </c>
      <c r="EZ171" s="124"/>
      <c r="FA171" s="122"/>
      <c r="FB171" s="122"/>
      <c r="FC171" s="124"/>
      <c r="FD171" s="124"/>
      <c r="FE171" s="122"/>
      <c r="FF171" s="122"/>
      <c r="FG171" s="124"/>
      <c r="FH171" s="124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  <c r="HE171" s="57"/>
      <c r="HF171" s="57"/>
      <c r="HG171" s="57"/>
      <c r="HH171" s="57"/>
      <c r="HI171" s="57"/>
      <c r="HJ171" s="57"/>
      <c r="HK171" s="57"/>
      <c r="HL171" s="57"/>
      <c r="HM171" s="57"/>
      <c r="HN171" s="57"/>
      <c r="HO171" s="57"/>
      <c r="HP171" s="57"/>
      <c r="HQ171" s="57"/>
      <c r="HR171" s="57"/>
      <c r="HS171" s="57"/>
      <c r="HT171" s="57"/>
      <c r="HU171" s="57"/>
      <c r="HV171" s="57"/>
      <c r="HW171" s="57"/>
      <c r="HX171" s="57"/>
      <c r="HY171" s="57"/>
      <c r="HZ171" s="57"/>
      <c r="IA171" s="57"/>
      <c r="IB171" s="57"/>
      <c r="IC171" s="57"/>
      <c r="ID171" s="57"/>
      <c r="IE171" s="57"/>
      <c r="IF171" s="57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  <c r="IT171" s="57"/>
      <c r="IU171" s="57"/>
      <c r="IV171" s="57"/>
    </row>
    <row r="172" spans="1:256" s="63" customFormat="1" ht="12.75">
      <c r="A172" s="47" t="s">
        <v>26</v>
      </c>
      <c r="B172" s="47" t="s">
        <v>315</v>
      </c>
      <c r="C172" s="39" t="s">
        <v>15</v>
      </c>
      <c r="D172" s="39">
        <v>5022500009</v>
      </c>
      <c r="E172" s="39">
        <v>522400010</v>
      </c>
      <c r="F172" s="28" t="s">
        <v>111</v>
      </c>
      <c r="G172" s="10" t="s">
        <v>318</v>
      </c>
      <c r="H172" s="10" t="s">
        <v>65</v>
      </c>
      <c r="I172" s="10" t="s">
        <v>167</v>
      </c>
      <c r="J172" s="10" t="s">
        <v>173</v>
      </c>
      <c r="K172" s="61">
        <v>1</v>
      </c>
      <c r="L172" s="75" t="s">
        <v>22</v>
      </c>
      <c r="M172" s="62" t="s">
        <v>21</v>
      </c>
      <c r="N172" s="62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62">
        <v>0.1765</v>
      </c>
      <c r="Z172" s="62">
        <v>0.1538</v>
      </c>
      <c r="AA172" s="62">
        <v>0.2059</v>
      </c>
      <c r="AB172" s="62">
        <v>0.3333</v>
      </c>
      <c r="AC172" s="62">
        <v>0.24</v>
      </c>
      <c r="AD172" s="62">
        <v>0.2222</v>
      </c>
      <c r="AE172" s="62">
        <v>0.2174</v>
      </c>
      <c r="AF172" s="62">
        <v>0.5</v>
      </c>
      <c r="AG172" s="62">
        <v>0.375</v>
      </c>
      <c r="AH172" s="84"/>
      <c r="AI172" s="62">
        <v>0.20833333333333334</v>
      </c>
      <c r="AJ172" s="84"/>
      <c r="AK172" s="80">
        <v>0.4074</v>
      </c>
      <c r="AL172" s="86"/>
      <c r="AM172" s="62">
        <v>0.2</v>
      </c>
      <c r="AN172" s="86"/>
      <c r="AO172" s="62">
        <v>0.25</v>
      </c>
      <c r="AP172" s="84"/>
      <c r="AQ172" s="81">
        <v>0.3684210526315789</v>
      </c>
      <c r="AR172" s="84"/>
      <c r="AS172" s="81">
        <v>0.15384615384615385</v>
      </c>
      <c r="AT172" s="84" t="s">
        <v>211</v>
      </c>
      <c r="AU172" s="81">
        <v>0.32432432432432434</v>
      </c>
      <c r="AV172" s="84" t="s">
        <v>211</v>
      </c>
      <c r="AW172" s="81">
        <v>0.4483</v>
      </c>
      <c r="AX172" s="84" t="s">
        <v>211</v>
      </c>
      <c r="AY172" s="81">
        <v>0.4167</v>
      </c>
      <c r="AZ172" s="84" t="s">
        <v>211</v>
      </c>
      <c r="BA172" s="81">
        <v>0.5909090909090909</v>
      </c>
      <c r="BB172" s="84" t="s">
        <v>211</v>
      </c>
      <c r="BC172" s="60"/>
      <c r="BD172" s="60"/>
      <c r="BE172" s="60"/>
      <c r="BF172" s="60"/>
      <c r="BG172" s="62"/>
      <c r="BH172" s="62">
        <f>(Z172+Y172)/2</f>
        <v>0.16515</v>
      </c>
      <c r="BI172" s="62">
        <f>AVERAGE(AA172:AB172)</f>
        <v>0.2696</v>
      </c>
      <c r="BJ172" s="62">
        <f>AVERAGE(AC172:AD172)</f>
        <v>0.2311</v>
      </c>
      <c r="BK172" s="62">
        <f>AVERAGE(AE172:AF172)</f>
        <v>0.3587</v>
      </c>
      <c r="BL172" s="62">
        <f>AVERAGE(AG172:AH172)</f>
        <v>0.375</v>
      </c>
      <c r="BM172" s="62">
        <f>AVERAGE(AI172:AI172)</f>
        <v>0.20833333333333334</v>
      </c>
      <c r="BN172" s="62">
        <f>AVERAGE(AK172:AL172)</f>
        <v>0.4074</v>
      </c>
      <c r="BO172" s="62">
        <f aca="true" t="shared" si="49" ref="BO172:BT173">AVERAGE(AM172:AN172)</f>
        <v>0.2</v>
      </c>
      <c r="BP172" s="62">
        <f t="shared" si="49"/>
        <v>0.25</v>
      </c>
      <c r="BQ172" s="62">
        <f t="shared" si="49"/>
        <v>0.25</v>
      </c>
      <c r="BR172" s="62">
        <f t="shared" si="49"/>
        <v>0.3684210526315789</v>
      </c>
      <c r="BS172" s="62">
        <f t="shared" si="49"/>
        <v>0.3684210526315789</v>
      </c>
      <c r="BT172" s="62">
        <f t="shared" si="49"/>
        <v>0.15384615384615385</v>
      </c>
      <c r="BU172" s="62">
        <f>AVERAGE(AY172:AZ172)</f>
        <v>0.4167</v>
      </c>
      <c r="BV172" s="62">
        <f t="shared" si="47"/>
        <v>0.5909090909090909</v>
      </c>
      <c r="BW172" s="78"/>
      <c r="BX172" s="78"/>
      <c r="BY172" s="54">
        <v>44</v>
      </c>
      <c r="BZ172" s="54">
        <v>84</v>
      </c>
      <c r="CA172" s="54">
        <v>86</v>
      </c>
      <c r="CB172" s="54">
        <v>108</v>
      </c>
      <c r="CC172" s="54">
        <v>109</v>
      </c>
      <c r="CD172" s="44">
        <v>110</v>
      </c>
      <c r="CE172" s="54">
        <v>104</v>
      </c>
      <c r="CF172" s="54">
        <v>86</v>
      </c>
      <c r="CG172" s="54">
        <v>66</v>
      </c>
      <c r="CH172" s="54">
        <f>87</f>
        <v>87</v>
      </c>
      <c r="CI172" s="54">
        <v>93</v>
      </c>
      <c r="CJ172" s="54">
        <f>101</f>
        <v>101</v>
      </c>
      <c r="CK172" s="54">
        <f>86+2</f>
        <v>88</v>
      </c>
      <c r="CL172" s="54">
        <v>98</v>
      </c>
      <c r="CM172" s="54">
        <f>100+0</f>
        <v>100</v>
      </c>
      <c r="CN172" s="54">
        <f>95+0</f>
        <v>95</v>
      </c>
      <c r="CO172" s="54">
        <v>97</v>
      </c>
      <c r="CP172" s="54">
        <v>94</v>
      </c>
      <c r="CQ172" s="54">
        <v>99</v>
      </c>
      <c r="CR172" s="76"/>
      <c r="CS172" s="55">
        <v>0.41</v>
      </c>
      <c r="CT172" s="55">
        <v>0.29</v>
      </c>
      <c r="CU172" s="55">
        <v>0.8</v>
      </c>
      <c r="CV172" s="55">
        <v>0.61</v>
      </c>
      <c r="CW172" s="64">
        <v>0.75</v>
      </c>
      <c r="CX172" s="64">
        <v>0.54</v>
      </c>
      <c r="CY172" s="66"/>
      <c r="CZ172" s="55">
        <v>0.54</v>
      </c>
      <c r="DA172" s="66"/>
      <c r="DB172" s="55">
        <v>0.59</v>
      </c>
      <c r="DC172" s="66"/>
      <c r="DD172" s="66"/>
      <c r="DE172" s="66"/>
      <c r="DF172" s="55">
        <v>0.5</v>
      </c>
      <c r="DG172" s="66"/>
      <c r="DH172" s="55">
        <v>0.61</v>
      </c>
      <c r="DI172" s="66"/>
      <c r="DJ172" s="55">
        <v>0.56</v>
      </c>
      <c r="DK172" s="66"/>
      <c r="DL172" s="55">
        <v>0.41</v>
      </c>
      <c r="DM172" s="66"/>
      <c r="DN172" s="55">
        <v>0.86</v>
      </c>
      <c r="DO172" s="66"/>
      <c r="DP172" s="55">
        <v>0.84375</v>
      </c>
      <c r="DQ172" s="66"/>
      <c r="DR172" s="55">
        <v>0.8181818181818182</v>
      </c>
      <c r="DS172" s="66"/>
      <c r="DT172" s="55">
        <v>0.81</v>
      </c>
      <c r="DU172" s="66"/>
      <c r="DV172" s="55">
        <v>0.62</v>
      </c>
      <c r="DW172" s="66"/>
      <c r="DX172" s="55">
        <v>0.84</v>
      </c>
      <c r="DY172" s="122">
        <v>0.333</v>
      </c>
      <c r="DZ172" s="122">
        <v>1</v>
      </c>
      <c r="EA172" s="124" t="s">
        <v>211</v>
      </c>
      <c r="EB172" s="124" t="s">
        <v>211</v>
      </c>
      <c r="EC172" s="122">
        <v>0.407</v>
      </c>
      <c r="ED172" s="122">
        <v>0.786</v>
      </c>
      <c r="EE172" s="124" t="s">
        <v>211</v>
      </c>
      <c r="EF172" s="124" t="s">
        <v>211</v>
      </c>
      <c r="EG172" s="122">
        <v>0.4</v>
      </c>
      <c r="EH172" s="122">
        <v>0.909</v>
      </c>
      <c r="EI172" s="124" t="s">
        <v>211</v>
      </c>
      <c r="EJ172" s="124" t="s">
        <v>211</v>
      </c>
      <c r="EK172" s="122">
        <v>0.333</v>
      </c>
      <c r="EL172" s="122">
        <v>1</v>
      </c>
      <c r="EM172" s="124" t="s">
        <v>211</v>
      </c>
      <c r="EN172" s="124" t="s">
        <v>211</v>
      </c>
      <c r="EO172" s="122">
        <v>0.447</v>
      </c>
      <c r="EP172" s="122">
        <v>0.944</v>
      </c>
      <c r="EQ172" s="124" t="s">
        <v>211</v>
      </c>
      <c r="ER172" s="124" t="s">
        <v>211</v>
      </c>
      <c r="ES172" s="122">
        <v>0.282</v>
      </c>
      <c r="ET172" s="122">
        <v>0.733</v>
      </c>
      <c r="EU172" s="124" t="s">
        <v>211</v>
      </c>
      <c r="EV172" s="124" t="s">
        <v>211</v>
      </c>
      <c r="EW172" s="122">
        <v>0.378</v>
      </c>
      <c r="EX172" s="122">
        <v>1</v>
      </c>
      <c r="EY172" s="124" t="s">
        <v>211</v>
      </c>
      <c r="EZ172" s="124" t="s">
        <v>211</v>
      </c>
      <c r="FA172" s="122">
        <v>0.517</v>
      </c>
      <c r="FB172" s="122">
        <v>0.75</v>
      </c>
      <c r="FC172" s="124" t="s">
        <v>211</v>
      </c>
      <c r="FD172" s="124" t="s">
        <v>211</v>
      </c>
      <c r="FE172" s="122">
        <v>0.194</v>
      </c>
      <c r="FF172" s="122">
        <v>0.389</v>
      </c>
      <c r="FG172" s="124" t="s">
        <v>211</v>
      </c>
      <c r="FH172" s="124" t="s">
        <v>211</v>
      </c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  <c r="GY172" s="57"/>
      <c r="GZ172" s="57"/>
      <c r="HA172" s="57"/>
      <c r="HB172" s="57"/>
      <c r="HC172" s="57"/>
      <c r="HD172" s="57"/>
      <c r="HE172" s="57"/>
      <c r="HF172" s="57"/>
      <c r="HG172" s="57"/>
      <c r="HH172" s="57"/>
      <c r="HI172" s="57"/>
      <c r="HJ172" s="57"/>
      <c r="HK172" s="57"/>
      <c r="HL172" s="57"/>
      <c r="HM172" s="57"/>
      <c r="HN172" s="57"/>
      <c r="HO172" s="57"/>
      <c r="HP172" s="57"/>
      <c r="HQ172" s="57"/>
      <c r="HR172" s="57"/>
      <c r="HS172" s="57"/>
      <c r="HT172" s="57"/>
      <c r="HU172" s="57"/>
      <c r="HV172" s="57"/>
      <c r="HW172" s="57"/>
      <c r="HX172" s="57"/>
      <c r="HY172" s="57"/>
      <c r="HZ172" s="57"/>
      <c r="IA172" s="57"/>
      <c r="IB172" s="57"/>
      <c r="IC172" s="57"/>
      <c r="ID172" s="57"/>
      <c r="IE172" s="57"/>
      <c r="IF172" s="57"/>
      <c r="IG172" s="57"/>
      <c r="IH172" s="57"/>
      <c r="II172" s="57"/>
      <c r="IJ172" s="57"/>
      <c r="IK172" s="57"/>
      <c r="IL172" s="57"/>
      <c r="IM172" s="57"/>
      <c r="IN172" s="57"/>
      <c r="IO172" s="57"/>
      <c r="IP172" s="57"/>
      <c r="IQ172" s="57"/>
      <c r="IR172" s="57"/>
      <c r="IS172" s="57"/>
      <c r="IT172" s="57"/>
      <c r="IU172" s="57"/>
      <c r="IV172" s="57"/>
    </row>
    <row r="173" spans="1:256" s="63" customFormat="1" ht="12.75">
      <c r="A173" s="47" t="s">
        <v>26</v>
      </c>
      <c r="B173" s="47" t="s">
        <v>315</v>
      </c>
      <c r="C173" s="39" t="s">
        <v>15</v>
      </c>
      <c r="D173" s="39">
        <v>5031200031</v>
      </c>
      <c r="E173" s="39">
        <v>531200052</v>
      </c>
      <c r="F173" s="28" t="s">
        <v>112</v>
      </c>
      <c r="G173" s="10" t="s">
        <v>318</v>
      </c>
      <c r="H173" s="10" t="s">
        <v>65</v>
      </c>
      <c r="I173" s="10" t="s">
        <v>166</v>
      </c>
      <c r="J173" s="10" t="s">
        <v>172</v>
      </c>
      <c r="K173" s="61">
        <v>1</v>
      </c>
      <c r="L173" s="75" t="s">
        <v>21</v>
      </c>
      <c r="M173" s="62" t="s">
        <v>21</v>
      </c>
      <c r="N173" s="62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62">
        <v>0.5357</v>
      </c>
      <c r="AE173" s="62">
        <v>0.4706</v>
      </c>
      <c r="AF173" s="62">
        <v>0.4375</v>
      </c>
      <c r="AG173" s="62">
        <v>0.5333</v>
      </c>
      <c r="AH173" s="62">
        <v>0.2778</v>
      </c>
      <c r="AI173" s="62">
        <v>0.25</v>
      </c>
      <c r="AJ173" s="62">
        <v>0.32</v>
      </c>
      <c r="AK173" s="80">
        <v>0.1364</v>
      </c>
      <c r="AL173" s="62">
        <v>0.3571</v>
      </c>
      <c r="AM173" s="62">
        <v>0.3636</v>
      </c>
      <c r="AN173" s="62">
        <v>0.38235294117647056</v>
      </c>
      <c r="AO173" s="86"/>
      <c r="AP173" s="81">
        <v>0.2</v>
      </c>
      <c r="AQ173" s="86"/>
      <c r="AR173" s="81">
        <v>0.5454545454545454</v>
      </c>
      <c r="AS173" s="86"/>
      <c r="AT173" s="81">
        <v>0.17857142857142858</v>
      </c>
      <c r="AU173" s="86"/>
      <c r="AV173" s="81">
        <v>0.1724137931034483</v>
      </c>
      <c r="AW173" s="86"/>
      <c r="AX173" s="81">
        <v>0.1667</v>
      </c>
      <c r="AY173" s="81">
        <v>0.4348</v>
      </c>
      <c r="AZ173" s="86"/>
      <c r="BA173" s="81">
        <v>0.4666666666666667</v>
      </c>
      <c r="BB173" s="86"/>
      <c r="BC173" s="60"/>
      <c r="BD173" s="60"/>
      <c r="BE173" s="60"/>
      <c r="BF173" s="60"/>
      <c r="BG173" s="62"/>
      <c r="BH173" s="62"/>
      <c r="BI173" s="62"/>
      <c r="BJ173" s="62">
        <f>AVERAGE(AC173:AD173)</f>
        <v>0.5357</v>
      </c>
      <c r="BK173" s="62">
        <f>AVERAGE(AE173:AF173)</f>
        <v>0.45405</v>
      </c>
      <c r="BL173" s="62">
        <f>AVERAGE(AG173:AH173)</f>
        <v>0.40554999999999997</v>
      </c>
      <c r="BM173" s="62">
        <f>AVERAGE(AI173:AJ173)</f>
        <v>0.28500000000000003</v>
      </c>
      <c r="BN173" s="62">
        <f>AVERAGE(AK173:AL173)</f>
        <v>0.24674999999999997</v>
      </c>
      <c r="BO173" s="62">
        <f t="shared" si="49"/>
        <v>0.37297647058823524</v>
      </c>
      <c r="BP173" s="62">
        <f t="shared" si="49"/>
        <v>0.38235294117647056</v>
      </c>
      <c r="BQ173" s="62">
        <f t="shared" si="49"/>
        <v>0.2</v>
      </c>
      <c r="BR173" s="62">
        <f t="shared" si="49"/>
        <v>0.2</v>
      </c>
      <c r="BS173" s="62">
        <f t="shared" si="49"/>
        <v>0.5454545454545454</v>
      </c>
      <c r="BT173" s="62">
        <f t="shared" si="49"/>
        <v>0.5454545454545454</v>
      </c>
      <c r="BU173" s="62">
        <f>AVERAGE(AY173:AZ173)</f>
        <v>0.4348</v>
      </c>
      <c r="BV173" s="62">
        <f t="shared" si="47"/>
        <v>0.4666666666666667</v>
      </c>
      <c r="BW173" s="78"/>
      <c r="BX173" s="78"/>
      <c r="BY173" s="78"/>
      <c r="BZ173" s="78"/>
      <c r="CA173" s="54">
        <v>46</v>
      </c>
      <c r="CB173" s="54">
        <v>80</v>
      </c>
      <c r="CC173" s="54">
        <v>92</v>
      </c>
      <c r="CD173" s="44">
        <v>129</v>
      </c>
      <c r="CE173" s="54">
        <v>145</v>
      </c>
      <c r="CF173" s="54">
        <v>139</v>
      </c>
      <c r="CG173" s="54">
        <f>119+2</f>
        <v>121</v>
      </c>
      <c r="CH173" s="54">
        <f>103</f>
        <v>103</v>
      </c>
      <c r="CI173" s="54">
        <v>100</v>
      </c>
      <c r="CJ173" s="54">
        <f>100</f>
        <v>100</v>
      </c>
      <c r="CK173" s="54">
        <f>100+1</f>
        <v>101</v>
      </c>
      <c r="CL173" s="54">
        <v>90</v>
      </c>
      <c r="CM173" s="54">
        <f>80+0</f>
        <v>80</v>
      </c>
      <c r="CN173" s="54">
        <f>84+0</f>
        <v>84</v>
      </c>
      <c r="CO173" s="54">
        <v>85</v>
      </c>
      <c r="CP173" s="54">
        <v>80</v>
      </c>
      <c r="CQ173" s="54">
        <v>77</v>
      </c>
      <c r="CR173" s="76"/>
      <c r="CS173" s="76"/>
      <c r="CT173" s="76"/>
      <c r="CU173" s="55">
        <v>0.68</v>
      </c>
      <c r="CV173" s="55">
        <v>0.69</v>
      </c>
      <c r="CW173" s="64">
        <v>0.6</v>
      </c>
      <c r="CX173" s="64">
        <v>0.94</v>
      </c>
      <c r="CY173" s="55">
        <v>0.75</v>
      </c>
      <c r="CZ173" s="55">
        <v>0.92</v>
      </c>
      <c r="DA173" s="55">
        <v>0.82</v>
      </c>
      <c r="DB173" s="55">
        <v>0.57</v>
      </c>
      <c r="DC173" s="55">
        <v>0.64</v>
      </c>
      <c r="DD173" s="55">
        <v>0.85</v>
      </c>
      <c r="DE173" s="66"/>
      <c r="DF173" s="55">
        <v>0.55</v>
      </c>
      <c r="DG173" s="66"/>
      <c r="DH173" s="55">
        <v>0.73</v>
      </c>
      <c r="DI173" s="66"/>
      <c r="DJ173" s="55">
        <v>0.64</v>
      </c>
      <c r="DK173" s="66"/>
      <c r="DL173" s="55">
        <v>0.69</v>
      </c>
      <c r="DM173" s="66"/>
      <c r="DN173" s="55">
        <v>0.63</v>
      </c>
      <c r="DO173" s="66"/>
      <c r="DP173" s="55">
        <v>0.6086956521739131</v>
      </c>
      <c r="DQ173" s="66"/>
      <c r="DR173" s="55">
        <v>0.8</v>
      </c>
      <c r="DS173" s="66"/>
      <c r="DT173" s="55">
        <v>0.45</v>
      </c>
      <c r="DU173" s="66"/>
      <c r="DV173" s="55">
        <v>0.79</v>
      </c>
      <c r="DW173" s="66"/>
      <c r="DX173" s="55">
        <v>0.63</v>
      </c>
      <c r="DY173" s="122">
        <v>0.429</v>
      </c>
      <c r="DZ173" s="122">
        <v>1</v>
      </c>
      <c r="EA173" s="124" t="s">
        <v>211</v>
      </c>
      <c r="EB173" s="124" t="s">
        <v>211</v>
      </c>
      <c r="EC173" s="122">
        <v>0.545</v>
      </c>
      <c r="ED173" s="122">
        <v>1</v>
      </c>
      <c r="EE173" s="124" t="s">
        <v>211</v>
      </c>
      <c r="EF173" s="124" t="s">
        <v>211</v>
      </c>
      <c r="EG173" s="122">
        <v>0.5</v>
      </c>
      <c r="EH173" s="122">
        <v>0.895</v>
      </c>
      <c r="EI173" s="124" t="s">
        <v>211</v>
      </c>
      <c r="EJ173" s="124" t="s">
        <v>211</v>
      </c>
      <c r="EK173" s="122">
        <v>0.3</v>
      </c>
      <c r="EL173" s="122">
        <v>1</v>
      </c>
      <c r="EM173" s="124" t="s">
        <v>211</v>
      </c>
      <c r="EN173" s="124" t="s">
        <v>211</v>
      </c>
      <c r="EO173" s="122">
        <v>0.545</v>
      </c>
      <c r="EP173" s="122">
        <v>1</v>
      </c>
      <c r="EQ173" s="124" t="s">
        <v>211</v>
      </c>
      <c r="ER173" s="124" t="s">
        <v>211</v>
      </c>
      <c r="ES173" s="122">
        <v>0.357</v>
      </c>
      <c r="ET173" s="122">
        <v>1</v>
      </c>
      <c r="EU173" s="124" t="s">
        <v>211</v>
      </c>
      <c r="EV173" s="124" t="s">
        <v>211</v>
      </c>
      <c r="EW173" s="122">
        <v>0.345</v>
      </c>
      <c r="EX173" s="122">
        <v>0.769</v>
      </c>
      <c r="EY173" s="124" t="s">
        <v>211</v>
      </c>
      <c r="EZ173" s="124" t="s">
        <v>211</v>
      </c>
      <c r="FA173" s="122">
        <v>0.125</v>
      </c>
      <c r="FB173" s="122">
        <v>0.375</v>
      </c>
      <c r="FC173" s="124" t="s">
        <v>211</v>
      </c>
      <c r="FD173" s="124" t="s">
        <v>211</v>
      </c>
      <c r="FE173" s="122">
        <v>0.043</v>
      </c>
      <c r="FF173" s="122">
        <v>0.1</v>
      </c>
      <c r="FG173" s="124" t="s">
        <v>211</v>
      </c>
      <c r="FH173" s="124" t="s">
        <v>211</v>
      </c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  <c r="IT173" s="57"/>
      <c r="IU173" s="57"/>
      <c r="IV173" s="57"/>
    </row>
    <row r="174" spans="1:256" s="63" customFormat="1" ht="12.75">
      <c r="A174" s="47" t="s">
        <v>26</v>
      </c>
      <c r="B174" s="47" t="s">
        <v>315</v>
      </c>
      <c r="C174" s="39" t="s">
        <v>15</v>
      </c>
      <c r="D174" s="39">
        <v>5031200013</v>
      </c>
      <c r="E174" s="39">
        <v>531200016</v>
      </c>
      <c r="F174" s="28" t="s">
        <v>137</v>
      </c>
      <c r="G174" s="10" t="s">
        <v>318</v>
      </c>
      <c r="H174" s="10" t="s">
        <v>65</v>
      </c>
      <c r="I174" s="10" t="s">
        <v>166</v>
      </c>
      <c r="J174" s="10" t="s">
        <v>172</v>
      </c>
      <c r="K174" s="61">
        <v>1</v>
      </c>
      <c r="L174" s="75" t="s">
        <v>22</v>
      </c>
      <c r="M174" s="62" t="s">
        <v>21</v>
      </c>
      <c r="N174" s="62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7"/>
      <c r="AL174" s="76"/>
      <c r="AM174" s="76"/>
      <c r="AN174" s="62">
        <v>0.18181818181818182</v>
      </c>
      <c r="AO174" s="86"/>
      <c r="AP174" s="81">
        <v>0.3181818181818182</v>
      </c>
      <c r="AQ174" s="86"/>
      <c r="AR174" s="81">
        <v>0.0967741935483871</v>
      </c>
      <c r="AS174" s="86"/>
      <c r="AT174" s="81">
        <v>0</v>
      </c>
      <c r="AU174" s="86"/>
      <c r="AV174" s="81">
        <v>0.1111111111111111</v>
      </c>
      <c r="AW174" s="86"/>
      <c r="AX174" s="81">
        <v>0.1053</v>
      </c>
      <c r="AY174" s="86"/>
      <c r="AZ174" s="81">
        <v>0.125</v>
      </c>
      <c r="BA174" s="86"/>
      <c r="BB174" s="81">
        <v>0.2353</v>
      </c>
      <c r="BC174" s="60"/>
      <c r="BD174" s="60"/>
      <c r="BE174" s="60"/>
      <c r="BF174" s="60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>
        <f>AVERAGE(AY174:AZ174)</f>
        <v>0.125</v>
      </c>
      <c r="BV174" s="62">
        <f t="shared" si="47"/>
        <v>0.2353</v>
      </c>
      <c r="BW174" s="78"/>
      <c r="BX174" s="78"/>
      <c r="BY174" s="78"/>
      <c r="BZ174" s="78"/>
      <c r="CA174" s="78"/>
      <c r="CB174" s="78"/>
      <c r="CC174" s="78"/>
      <c r="CD174" s="78"/>
      <c r="CE174" s="78"/>
      <c r="CF174" s="54">
        <v>23</v>
      </c>
      <c r="CG174" s="54">
        <f>18+22</f>
        <v>40</v>
      </c>
      <c r="CH174" s="54">
        <f>39+30</f>
        <v>69</v>
      </c>
      <c r="CI174" s="54">
        <f>55+17</f>
        <v>72</v>
      </c>
      <c r="CJ174" s="54">
        <f>57+26</f>
        <v>83</v>
      </c>
      <c r="CK174" s="54">
        <f>62+20</f>
        <v>82</v>
      </c>
      <c r="CL174" s="54">
        <f>51+15</f>
        <v>66</v>
      </c>
      <c r="CM174" s="54">
        <f>42+17</f>
        <v>59</v>
      </c>
      <c r="CN174" s="54">
        <f>40+19</f>
        <v>59</v>
      </c>
      <c r="CO174" s="54">
        <f>42+23</f>
        <v>65</v>
      </c>
      <c r="CP174" s="54">
        <v>68</v>
      </c>
      <c r="CQ174" s="54">
        <v>55</v>
      </c>
      <c r="CR174" s="76"/>
      <c r="CS174" s="76"/>
      <c r="CT174" s="76"/>
      <c r="CU174" s="55"/>
      <c r="CV174" s="55"/>
      <c r="CW174" s="64"/>
      <c r="CX174" s="64"/>
      <c r="CY174" s="55"/>
      <c r="CZ174" s="55"/>
      <c r="DA174" s="55"/>
      <c r="DB174" s="55"/>
      <c r="DC174" s="66"/>
      <c r="DD174" s="66"/>
      <c r="DE174" s="55">
        <v>0.82</v>
      </c>
      <c r="DF174" s="66"/>
      <c r="DG174" s="55">
        <v>0.86</v>
      </c>
      <c r="DH174" s="66"/>
      <c r="DI174" s="55">
        <v>0.52</v>
      </c>
      <c r="DJ174" s="66"/>
      <c r="DK174" s="55">
        <v>0.5882352941176471</v>
      </c>
      <c r="DL174" s="66"/>
      <c r="DM174" s="55">
        <v>0.56</v>
      </c>
      <c r="DN174" s="66"/>
      <c r="DO174" s="55">
        <v>0.5263157894736842</v>
      </c>
      <c r="DP174" s="66"/>
      <c r="DQ174" s="55">
        <v>0.5625</v>
      </c>
      <c r="DR174" s="66"/>
      <c r="DS174" s="55">
        <v>0.71</v>
      </c>
      <c r="DT174" s="66"/>
      <c r="DU174" s="55">
        <v>0.61</v>
      </c>
      <c r="DV174" s="66"/>
      <c r="DW174" s="55">
        <v>0.7222222222222222</v>
      </c>
      <c r="DX174" s="66"/>
      <c r="DY174" s="122" t="s">
        <v>211</v>
      </c>
      <c r="DZ174" s="122" t="s">
        <v>211</v>
      </c>
      <c r="EA174" s="124" t="s">
        <v>211</v>
      </c>
      <c r="EB174" s="124" t="s">
        <v>211</v>
      </c>
      <c r="EC174" s="122" t="s">
        <v>211</v>
      </c>
      <c r="ED174" s="122" t="s">
        <v>211</v>
      </c>
      <c r="EE174" s="124" t="s">
        <v>211</v>
      </c>
      <c r="EF174" s="124" t="s">
        <v>211</v>
      </c>
      <c r="EG174" s="122" t="s">
        <v>211</v>
      </c>
      <c r="EH174" s="122" t="s">
        <v>211</v>
      </c>
      <c r="EI174" s="124">
        <v>0.364</v>
      </c>
      <c r="EJ174" s="124">
        <v>0.727</v>
      </c>
      <c r="EK174" s="122" t="s">
        <v>211</v>
      </c>
      <c r="EL174" s="122" t="s">
        <v>211</v>
      </c>
      <c r="EM174" s="124">
        <v>0.591</v>
      </c>
      <c r="EN174" s="124">
        <v>1</v>
      </c>
      <c r="EO174" s="122" t="s">
        <v>211</v>
      </c>
      <c r="EP174" s="122" t="s">
        <v>211</v>
      </c>
      <c r="EQ174" s="124">
        <v>0.194</v>
      </c>
      <c r="ER174" s="124">
        <v>1</v>
      </c>
      <c r="ES174" s="122" t="s">
        <v>211</v>
      </c>
      <c r="ET174" s="122" t="s">
        <v>211</v>
      </c>
      <c r="EU174" s="124">
        <v>0.118</v>
      </c>
      <c r="EV174" s="124">
        <v>1</v>
      </c>
      <c r="EW174" s="122" t="s">
        <v>211</v>
      </c>
      <c r="EX174" s="122" t="s">
        <v>211</v>
      </c>
      <c r="EY174" s="124">
        <v>0.222</v>
      </c>
      <c r="EZ174" s="124">
        <v>0.6</v>
      </c>
      <c r="FA174" s="122" t="s">
        <v>211</v>
      </c>
      <c r="FB174" s="122" t="s">
        <v>211</v>
      </c>
      <c r="FC174" s="124">
        <v>0.105</v>
      </c>
      <c r="FD174" s="124">
        <v>0.4</v>
      </c>
      <c r="FE174" s="122" t="s">
        <v>211</v>
      </c>
      <c r="FF174" s="122" t="s">
        <v>211</v>
      </c>
      <c r="FG174" s="124">
        <v>0</v>
      </c>
      <c r="FH174" s="124">
        <v>0</v>
      </c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  <c r="HE174" s="57"/>
      <c r="HF174" s="57"/>
      <c r="HG174" s="57"/>
      <c r="HH174" s="57"/>
      <c r="HI174" s="57"/>
      <c r="HJ174" s="57"/>
      <c r="HK174" s="57"/>
      <c r="HL174" s="57"/>
      <c r="HM174" s="57"/>
      <c r="HN174" s="57"/>
      <c r="HO174" s="57"/>
      <c r="HP174" s="57"/>
      <c r="HQ174" s="57"/>
      <c r="HR174" s="57"/>
      <c r="HS174" s="57"/>
      <c r="HT174" s="57"/>
      <c r="HU174" s="57"/>
      <c r="HV174" s="57"/>
      <c r="HW174" s="57"/>
      <c r="HX174" s="57"/>
      <c r="HY174" s="57"/>
      <c r="HZ174" s="57"/>
      <c r="IA174" s="57"/>
      <c r="IB174" s="57"/>
      <c r="IC174" s="57"/>
      <c r="ID174" s="57"/>
      <c r="IE174" s="57"/>
      <c r="IF174" s="57"/>
      <c r="IG174" s="57"/>
      <c r="IH174" s="57"/>
      <c r="II174" s="57"/>
      <c r="IJ174" s="57"/>
      <c r="IK174" s="57"/>
      <c r="IL174" s="57"/>
      <c r="IM174" s="57"/>
      <c r="IN174" s="57"/>
      <c r="IO174" s="57"/>
      <c r="IP174" s="57"/>
      <c r="IQ174" s="57"/>
      <c r="IR174" s="57"/>
      <c r="IS174" s="57"/>
      <c r="IT174" s="57"/>
      <c r="IU174" s="57"/>
      <c r="IV174" s="57"/>
    </row>
    <row r="175" spans="1:256" s="63" customFormat="1" ht="12.75">
      <c r="A175" s="47" t="s">
        <v>26</v>
      </c>
      <c r="B175" s="47" t="s">
        <v>315</v>
      </c>
      <c r="C175" s="39" t="s">
        <v>15</v>
      </c>
      <c r="D175" s="39">
        <v>5031200042</v>
      </c>
      <c r="E175" s="39">
        <v>531200080</v>
      </c>
      <c r="F175" s="28" t="s">
        <v>230</v>
      </c>
      <c r="G175" s="10" t="s">
        <v>318</v>
      </c>
      <c r="H175" s="10"/>
      <c r="I175" s="10"/>
      <c r="J175" s="10"/>
      <c r="K175" s="61"/>
      <c r="L175" s="75"/>
      <c r="M175" s="83"/>
      <c r="N175" s="62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7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81">
        <v>0.2727</v>
      </c>
      <c r="AY175" s="81">
        <v>0.4706</v>
      </c>
      <c r="AZ175" s="81">
        <v>0.7333</v>
      </c>
      <c r="BA175" s="81">
        <v>0.5</v>
      </c>
      <c r="BB175" s="81">
        <v>0.4667</v>
      </c>
      <c r="BC175" s="60"/>
      <c r="BD175" s="60"/>
      <c r="BE175" s="60"/>
      <c r="BF175" s="60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f>AVERAGE(AY175:AZ175)</f>
        <v>0.60195</v>
      </c>
      <c r="BV175" s="62">
        <f t="shared" si="47"/>
        <v>0.48335</v>
      </c>
      <c r="BW175" s="78"/>
      <c r="BX175" s="78"/>
      <c r="BY175" s="78"/>
      <c r="BZ175" s="78"/>
      <c r="CA175" s="78"/>
      <c r="CB175" s="78"/>
      <c r="CC175" s="78"/>
      <c r="CD175" s="78"/>
      <c r="CE175" s="78"/>
      <c r="CF175" s="54"/>
      <c r="CG175" s="54"/>
      <c r="CH175" s="54"/>
      <c r="CI175" s="54"/>
      <c r="CJ175" s="54"/>
      <c r="CK175" s="54"/>
      <c r="CL175" s="54">
        <f>27+15</f>
        <v>42</v>
      </c>
      <c r="CM175" s="54">
        <f>53+15</f>
        <v>68</v>
      </c>
      <c r="CN175" s="54">
        <f>72+11</f>
        <v>83</v>
      </c>
      <c r="CO175" s="54">
        <f>109+24</f>
        <v>133</v>
      </c>
      <c r="CP175" s="54">
        <v>154</v>
      </c>
      <c r="CQ175" s="54">
        <v>116</v>
      </c>
      <c r="CR175" s="76"/>
      <c r="CS175" s="76"/>
      <c r="CT175" s="76"/>
      <c r="CU175" s="55"/>
      <c r="CV175" s="55"/>
      <c r="CW175" s="64"/>
      <c r="CX175" s="64"/>
      <c r="CY175" s="55"/>
      <c r="CZ175" s="55"/>
      <c r="DA175" s="55"/>
      <c r="DB175" s="55"/>
      <c r="DC175" s="66"/>
      <c r="DD175" s="66"/>
      <c r="DE175" s="55"/>
      <c r="DF175" s="66"/>
      <c r="DG175" s="55"/>
      <c r="DH175" s="66"/>
      <c r="DI175" s="55"/>
      <c r="DJ175" s="66"/>
      <c r="DK175" s="55"/>
      <c r="DL175" s="55"/>
      <c r="DM175" s="66"/>
      <c r="DN175" s="66"/>
      <c r="DO175" s="55">
        <v>0.91</v>
      </c>
      <c r="DP175" s="55">
        <v>0.82</v>
      </c>
      <c r="DQ175" s="55">
        <v>0.87</v>
      </c>
      <c r="DR175" s="55">
        <v>0.75</v>
      </c>
      <c r="DS175" s="55">
        <v>0.8</v>
      </c>
      <c r="DT175" s="55">
        <v>0.77</v>
      </c>
      <c r="DU175" s="55">
        <v>0.55</v>
      </c>
      <c r="DV175" s="55">
        <v>0.63</v>
      </c>
      <c r="DW175" s="55">
        <v>0.5454545454545454</v>
      </c>
      <c r="DX175" s="55">
        <v>0.61</v>
      </c>
      <c r="DY175" s="122" t="s">
        <v>211</v>
      </c>
      <c r="DZ175" s="122" t="s">
        <v>211</v>
      </c>
      <c r="EA175" s="124" t="s">
        <v>211</v>
      </c>
      <c r="EB175" s="124" t="s">
        <v>211</v>
      </c>
      <c r="EC175" s="122" t="s">
        <v>211</v>
      </c>
      <c r="ED175" s="122" t="s">
        <v>211</v>
      </c>
      <c r="EE175" s="124" t="s">
        <v>211</v>
      </c>
      <c r="EF175" s="124" t="s">
        <v>211</v>
      </c>
      <c r="EG175" s="122" t="s">
        <v>211</v>
      </c>
      <c r="EH175" s="122" t="s">
        <v>211</v>
      </c>
      <c r="EI175" s="124" t="s">
        <v>211</v>
      </c>
      <c r="EJ175" s="124" t="s">
        <v>211</v>
      </c>
      <c r="EK175" s="122" t="s">
        <v>211</v>
      </c>
      <c r="EL175" s="122" t="s">
        <v>211</v>
      </c>
      <c r="EM175" s="124" t="s">
        <v>211</v>
      </c>
      <c r="EN175" s="124" t="s">
        <v>211</v>
      </c>
      <c r="EO175" s="122" t="s">
        <v>211</v>
      </c>
      <c r="EP175" s="122" t="s">
        <v>211</v>
      </c>
      <c r="EQ175" s="124" t="s">
        <v>211</v>
      </c>
      <c r="ER175" s="124" t="s">
        <v>211</v>
      </c>
      <c r="ES175" s="122" t="s">
        <v>211</v>
      </c>
      <c r="ET175" s="122" t="s">
        <v>211</v>
      </c>
      <c r="EU175" s="124" t="s">
        <v>211</v>
      </c>
      <c r="EV175" s="124" t="s">
        <v>211</v>
      </c>
      <c r="EW175" s="122" t="s">
        <v>211</v>
      </c>
      <c r="EX175" s="122" t="s">
        <v>211</v>
      </c>
      <c r="EY175" s="124" t="s">
        <v>211</v>
      </c>
      <c r="EZ175" s="124" t="s">
        <v>211</v>
      </c>
      <c r="FA175" s="122" t="s">
        <v>211</v>
      </c>
      <c r="FB175" s="122" t="s">
        <v>211</v>
      </c>
      <c r="FC175" s="124">
        <v>0.273</v>
      </c>
      <c r="FD175" s="124">
        <v>0.75</v>
      </c>
      <c r="FE175" s="122">
        <v>0.118</v>
      </c>
      <c r="FF175" s="122">
        <v>0.182</v>
      </c>
      <c r="FG175" s="124">
        <v>0.067</v>
      </c>
      <c r="FH175" s="124">
        <v>0.091</v>
      </c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  <c r="GW175" s="57"/>
      <c r="GX175" s="57"/>
      <c r="GY175" s="57"/>
      <c r="GZ175" s="57"/>
      <c r="HA175" s="57"/>
      <c r="HB175" s="57"/>
      <c r="HC175" s="57"/>
      <c r="HD175" s="57"/>
      <c r="HE175" s="57"/>
      <c r="HF175" s="57"/>
      <c r="HG175" s="57"/>
      <c r="HH175" s="57"/>
      <c r="HI175" s="57"/>
      <c r="HJ175" s="57"/>
      <c r="HK175" s="57"/>
      <c r="HL175" s="57"/>
      <c r="HM175" s="57"/>
      <c r="HN175" s="57"/>
      <c r="HO175" s="57"/>
      <c r="HP175" s="57"/>
      <c r="HQ175" s="57"/>
      <c r="HR175" s="57"/>
      <c r="HS175" s="57"/>
      <c r="HT175" s="57"/>
      <c r="HU175" s="57"/>
      <c r="HV175" s="57"/>
      <c r="HW175" s="57"/>
      <c r="HX175" s="57"/>
      <c r="HY175" s="57"/>
      <c r="HZ175" s="57"/>
      <c r="IA175" s="57"/>
      <c r="IB175" s="57"/>
      <c r="IC175" s="57"/>
      <c r="ID175" s="57"/>
      <c r="IE175" s="57"/>
      <c r="IF175" s="57"/>
      <c r="IG175" s="57"/>
      <c r="IH175" s="57"/>
      <c r="II175" s="57"/>
      <c r="IJ175" s="57"/>
      <c r="IK175" s="57"/>
      <c r="IL175" s="57"/>
      <c r="IM175" s="57"/>
      <c r="IN175" s="57"/>
      <c r="IO175" s="57"/>
      <c r="IP175" s="57"/>
      <c r="IQ175" s="57"/>
      <c r="IR175" s="57"/>
      <c r="IS175" s="57"/>
      <c r="IT175" s="57"/>
      <c r="IU175" s="57"/>
      <c r="IV175" s="57"/>
    </row>
    <row r="176" spans="1:256" s="63" customFormat="1" ht="12.75">
      <c r="A176" s="47" t="s">
        <v>26</v>
      </c>
      <c r="B176" s="47" t="s">
        <v>315</v>
      </c>
      <c r="C176" s="14" t="s">
        <v>15</v>
      </c>
      <c r="D176" s="37" t="s">
        <v>211</v>
      </c>
      <c r="E176" s="39"/>
      <c r="F176" s="29" t="s">
        <v>113</v>
      </c>
      <c r="G176" s="10" t="s">
        <v>318</v>
      </c>
      <c r="H176" s="10" t="s">
        <v>65</v>
      </c>
      <c r="I176" s="10" t="s">
        <v>166</v>
      </c>
      <c r="J176" s="10" t="s">
        <v>172</v>
      </c>
      <c r="K176" s="61"/>
      <c r="L176" s="100"/>
      <c r="M176" s="83"/>
      <c r="N176" s="62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62"/>
      <c r="AJ176" s="62"/>
      <c r="AK176" s="80"/>
      <c r="AL176" s="62"/>
      <c r="AM176" s="62"/>
      <c r="AN176" s="62"/>
      <c r="AO176" s="62"/>
      <c r="AP176" s="81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6"/>
      <c r="BD176" s="6"/>
      <c r="BE176" s="6"/>
      <c r="BF176" s="6"/>
      <c r="BG176" s="10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13">
        <v>397</v>
      </c>
      <c r="BX176" s="13">
        <v>270</v>
      </c>
      <c r="BY176" s="13">
        <v>175</v>
      </c>
      <c r="BZ176" s="13">
        <v>94</v>
      </c>
      <c r="CA176" s="15"/>
      <c r="CB176" s="15"/>
      <c r="CC176" s="67"/>
      <c r="CD176" s="136"/>
      <c r="CE176" s="67"/>
      <c r="CF176" s="137"/>
      <c r="CG176" s="137"/>
      <c r="CH176" s="137"/>
      <c r="CI176" s="137"/>
      <c r="CJ176" s="137"/>
      <c r="CK176" s="129"/>
      <c r="CL176" s="129"/>
      <c r="CM176" s="129"/>
      <c r="CN176" s="129">
        <v>0</v>
      </c>
      <c r="CO176" s="129"/>
      <c r="CP176" s="129"/>
      <c r="CQ176" s="129"/>
      <c r="CR176" s="16"/>
      <c r="CS176" s="16"/>
      <c r="CT176" s="16"/>
      <c r="CU176" s="16"/>
      <c r="CV176" s="16"/>
      <c r="CW176" s="16"/>
      <c r="CX176" s="144"/>
      <c r="CY176" s="66"/>
      <c r="CZ176" s="55"/>
      <c r="DA176" s="55"/>
      <c r="DB176" s="55"/>
      <c r="DC176" s="66"/>
      <c r="DD176" s="66"/>
      <c r="DE176" s="66"/>
      <c r="DF176" s="66"/>
      <c r="DG176" s="66"/>
      <c r="DH176" s="66"/>
      <c r="DI176" s="66"/>
      <c r="DJ176" s="66"/>
      <c r="DK176" s="66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1" t="s">
        <v>211</v>
      </c>
      <c r="DZ176" s="131" t="s">
        <v>211</v>
      </c>
      <c r="EA176" s="132" t="s">
        <v>211</v>
      </c>
      <c r="EB176" s="132" t="s">
        <v>211</v>
      </c>
      <c r="EC176" s="131" t="s">
        <v>211</v>
      </c>
      <c r="ED176" s="131" t="s">
        <v>211</v>
      </c>
      <c r="EE176" s="132" t="s">
        <v>211</v>
      </c>
      <c r="EF176" s="132" t="s">
        <v>211</v>
      </c>
      <c r="EG176" s="131" t="s">
        <v>211</v>
      </c>
      <c r="EH176" s="131" t="s">
        <v>211</v>
      </c>
      <c r="EI176" s="132" t="s">
        <v>211</v>
      </c>
      <c r="EJ176" s="132" t="s">
        <v>211</v>
      </c>
      <c r="EK176" s="131" t="s">
        <v>211</v>
      </c>
      <c r="EL176" s="131" t="s">
        <v>211</v>
      </c>
      <c r="EM176" s="132" t="s">
        <v>211</v>
      </c>
      <c r="EN176" s="132" t="s">
        <v>211</v>
      </c>
      <c r="EO176" s="131" t="s">
        <v>211</v>
      </c>
      <c r="EP176" s="131" t="s">
        <v>211</v>
      </c>
      <c r="EQ176" s="132" t="s">
        <v>211</v>
      </c>
      <c r="ER176" s="132" t="s">
        <v>211</v>
      </c>
      <c r="ES176" s="131" t="s">
        <v>211</v>
      </c>
      <c r="ET176" s="131" t="s">
        <v>211</v>
      </c>
      <c r="EU176" s="132" t="s">
        <v>211</v>
      </c>
      <c r="EV176" s="132" t="s">
        <v>211</v>
      </c>
      <c r="EW176" s="131" t="s">
        <v>211</v>
      </c>
      <c r="EX176" s="131" t="s">
        <v>211</v>
      </c>
      <c r="EY176" s="132" t="s">
        <v>211</v>
      </c>
      <c r="EZ176" s="132" t="s">
        <v>211</v>
      </c>
      <c r="FA176" s="131" t="s">
        <v>211</v>
      </c>
      <c r="FB176" s="131" t="s">
        <v>211</v>
      </c>
      <c r="FC176" s="132" t="s">
        <v>211</v>
      </c>
      <c r="FD176" s="132" t="s">
        <v>211</v>
      </c>
      <c r="FE176" s="131" t="s">
        <v>211</v>
      </c>
      <c r="FF176" s="131" t="s">
        <v>211</v>
      </c>
      <c r="FG176" s="132"/>
      <c r="FH176" s="132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  <c r="HE176" s="57"/>
      <c r="HF176" s="57"/>
      <c r="HG176" s="57"/>
      <c r="HH176" s="57"/>
      <c r="HI176" s="57"/>
      <c r="HJ176" s="57"/>
      <c r="HK176" s="57"/>
      <c r="HL176" s="57"/>
      <c r="HM176" s="57"/>
      <c r="HN176" s="57"/>
      <c r="HO176" s="57"/>
      <c r="HP176" s="57"/>
      <c r="HQ176" s="57"/>
      <c r="HR176" s="57"/>
      <c r="HS176" s="57"/>
      <c r="HT176" s="57"/>
      <c r="HU176" s="57"/>
      <c r="HV176" s="57"/>
      <c r="HW176" s="57"/>
      <c r="HX176" s="57"/>
      <c r="HY176" s="57"/>
      <c r="HZ176" s="57"/>
      <c r="IA176" s="57"/>
      <c r="IB176" s="57"/>
      <c r="IC176" s="57"/>
      <c r="ID176" s="57"/>
      <c r="IE176" s="57"/>
      <c r="IF176" s="57"/>
      <c r="IG176" s="57"/>
      <c r="IH176" s="57"/>
      <c r="II176" s="57"/>
      <c r="IJ176" s="57"/>
      <c r="IK176" s="57"/>
      <c r="IL176" s="57"/>
      <c r="IM176" s="57"/>
      <c r="IN176" s="57"/>
      <c r="IO176" s="57"/>
      <c r="IP176" s="57"/>
      <c r="IQ176" s="57"/>
      <c r="IR176" s="57"/>
      <c r="IS176" s="57"/>
      <c r="IT176" s="57"/>
      <c r="IU176" s="57"/>
      <c r="IV176" s="57"/>
    </row>
    <row r="177" spans="1:256" s="58" customFormat="1" ht="12.75">
      <c r="A177" s="47" t="s">
        <v>26</v>
      </c>
      <c r="B177" s="47" t="s">
        <v>315</v>
      </c>
      <c r="C177" s="14" t="s">
        <v>15</v>
      </c>
      <c r="D177" s="37" t="s">
        <v>211</v>
      </c>
      <c r="E177" s="39"/>
      <c r="F177" s="29" t="s">
        <v>52</v>
      </c>
      <c r="G177" s="10" t="s">
        <v>318</v>
      </c>
      <c r="H177" s="10" t="s">
        <v>62</v>
      </c>
      <c r="I177" s="10" t="s">
        <v>166</v>
      </c>
      <c r="J177" s="10" t="s">
        <v>172</v>
      </c>
      <c r="K177" s="61"/>
      <c r="L177" s="100"/>
      <c r="M177" s="83"/>
      <c r="N177" s="62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62"/>
      <c r="AJ177" s="62"/>
      <c r="AK177" s="80"/>
      <c r="AL177" s="62"/>
      <c r="AM177" s="62"/>
      <c r="AN177" s="62"/>
      <c r="AO177" s="62"/>
      <c r="AP177" s="81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6"/>
      <c r="BD177" s="6"/>
      <c r="BE177" s="6"/>
      <c r="BF177" s="6"/>
      <c r="BG177" s="10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13">
        <v>234</v>
      </c>
      <c r="BX177" s="13">
        <v>142</v>
      </c>
      <c r="BY177" s="13">
        <v>78</v>
      </c>
      <c r="BZ177" s="15"/>
      <c r="CA177" s="15"/>
      <c r="CB177" s="15"/>
      <c r="CC177" s="67"/>
      <c r="CD177" s="136"/>
      <c r="CE177" s="67"/>
      <c r="CF177" s="137"/>
      <c r="CG177" s="137"/>
      <c r="CH177" s="137"/>
      <c r="CI177" s="137"/>
      <c r="CJ177" s="137"/>
      <c r="CK177" s="129"/>
      <c r="CL177" s="129"/>
      <c r="CM177" s="129"/>
      <c r="CN177" s="129">
        <v>0</v>
      </c>
      <c r="CO177" s="129"/>
      <c r="CP177" s="129"/>
      <c r="CQ177" s="129"/>
      <c r="CR177" s="16"/>
      <c r="CS177" s="16"/>
      <c r="CT177" s="16"/>
      <c r="CU177" s="16"/>
      <c r="CV177" s="16"/>
      <c r="CW177" s="16"/>
      <c r="CX177" s="144"/>
      <c r="CY177" s="66"/>
      <c r="CZ177" s="55"/>
      <c r="DA177" s="55"/>
      <c r="DB177" s="55"/>
      <c r="DC177" s="66"/>
      <c r="DD177" s="66"/>
      <c r="DE177" s="66"/>
      <c r="DF177" s="66"/>
      <c r="DG177" s="66"/>
      <c r="DH177" s="66"/>
      <c r="DI177" s="66"/>
      <c r="DJ177" s="66"/>
      <c r="DK177" s="66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1" t="s">
        <v>211</v>
      </c>
      <c r="DZ177" s="131" t="s">
        <v>211</v>
      </c>
      <c r="EA177" s="132" t="s">
        <v>211</v>
      </c>
      <c r="EB177" s="132" t="s">
        <v>211</v>
      </c>
      <c r="EC177" s="131" t="s">
        <v>211</v>
      </c>
      <c r="ED177" s="131" t="s">
        <v>211</v>
      </c>
      <c r="EE177" s="132" t="s">
        <v>211</v>
      </c>
      <c r="EF177" s="132" t="s">
        <v>211</v>
      </c>
      <c r="EG177" s="131" t="s">
        <v>211</v>
      </c>
      <c r="EH177" s="131" t="s">
        <v>211</v>
      </c>
      <c r="EI177" s="132" t="s">
        <v>211</v>
      </c>
      <c r="EJ177" s="132" t="s">
        <v>211</v>
      </c>
      <c r="EK177" s="131" t="s">
        <v>211</v>
      </c>
      <c r="EL177" s="131" t="s">
        <v>211</v>
      </c>
      <c r="EM177" s="132" t="s">
        <v>211</v>
      </c>
      <c r="EN177" s="132" t="s">
        <v>211</v>
      </c>
      <c r="EO177" s="131" t="s">
        <v>211</v>
      </c>
      <c r="EP177" s="131" t="s">
        <v>211</v>
      </c>
      <c r="EQ177" s="132" t="s">
        <v>211</v>
      </c>
      <c r="ER177" s="132" t="s">
        <v>211</v>
      </c>
      <c r="ES177" s="131" t="s">
        <v>211</v>
      </c>
      <c r="ET177" s="131" t="s">
        <v>211</v>
      </c>
      <c r="EU177" s="132" t="s">
        <v>211</v>
      </c>
      <c r="EV177" s="132" t="s">
        <v>211</v>
      </c>
      <c r="EW177" s="131" t="s">
        <v>211</v>
      </c>
      <c r="EX177" s="131" t="s">
        <v>211</v>
      </c>
      <c r="EY177" s="132" t="s">
        <v>211</v>
      </c>
      <c r="EZ177" s="132" t="s">
        <v>211</v>
      </c>
      <c r="FA177" s="131" t="s">
        <v>211</v>
      </c>
      <c r="FB177" s="131" t="s">
        <v>211</v>
      </c>
      <c r="FC177" s="132" t="s">
        <v>211</v>
      </c>
      <c r="FD177" s="132" t="s">
        <v>211</v>
      </c>
      <c r="FE177" s="131" t="s">
        <v>211</v>
      </c>
      <c r="FF177" s="131" t="s">
        <v>211</v>
      </c>
      <c r="FG177" s="132"/>
      <c r="FH177" s="132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  <c r="IP177" s="57"/>
      <c r="IQ177" s="57"/>
      <c r="IR177" s="57"/>
      <c r="IS177" s="57"/>
      <c r="IT177" s="57"/>
      <c r="IU177" s="57"/>
      <c r="IV177" s="57"/>
    </row>
    <row r="178" spans="1:256" s="58" customFormat="1" ht="12.75">
      <c r="A178" s="47" t="s">
        <v>26</v>
      </c>
      <c r="B178" s="47" t="s">
        <v>315</v>
      </c>
      <c r="C178" s="39" t="s">
        <v>10</v>
      </c>
      <c r="D178" s="39">
        <v>6033100031</v>
      </c>
      <c r="E178" s="39">
        <v>634100061</v>
      </c>
      <c r="F178" s="10" t="s">
        <v>393</v>
      </c>
      <c r="G178" s="10" t="s">
        <v>320</v>
      </c>
      <c r="H178" s="10"/>
      <c r="I178" s="10" t="s">
        <v>166</v>
      </c>
      <c r="J178" s="10" t="s">
        <v>172</v>
      </c>
      <c r="K178" s="61"/>
      <c r="L178" s="9"/>
      <c r="M178" s="62"/>
      <c r="N178" s="62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50"/>
      <c r="AI178" s="50"/>
      <c r="AJ178" s="50"/>
      <c r="AK178" s="43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44"/>
      <c r="CE178" s="54"/>
      <c r="CF178" s="54">
        <v>3</v>
      </c>
      <c r="CG178" s="54">
        <v>3</v>
      </c>
      <c r="CH178" s="54">
        <v>0</v>
      </c>
      <c r="CI178" s="54"/>
      <c r="CJ178" s="54"/>
      <c r="CK178" s="54"/>
      <c r="CL178" s="54"/>
      <c r="CM178" s="54">
        <f>0+0</f>
        <v>0</v>
      </c>
      <c r="CN178" s="54">
        <f>0+0</f>
        <v>0</v>
      </c>
      <c r="CO178" s="54"/>
      <c r="CP178" s="54"/>
      <c r="CQ178" s="54"/>
      <c r="CR178" s="55"/>
      <c r="CS178" s="55"/>
      <c r="CT178" s="55"/>
      <c r="CU178" s="55"/>
      <c r="CV178" s="55"/>
      <c r="CW178" s="64"/>
      <c r="CX178" s="64"/>
      <c r="CY178" s="55"/>
      <c r="CZ178" s="55"/>
      <c r="DA178" s="55"/>
      <c r="DB178" s="55"/>
      <c r="DC178" s="5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47"/>
      <c r="EL178" s="47"/>
      <c r="EM178" s="120"/>
      <c r="EN178" s="12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  <c r="GW178" s="57"/>
      <c r="GX178" s="57"/>
      <c r="GY178" s="57"/>
      <c r="GZ178" s="57"/>
      <c r="HA178" s="57"/>
      <c r="HB178" s="57"/>
      <c r="HC178" s="57"/>
      <c r="HD178" s="57"/>
      <c r="HE178" s="57"/>
      <c r="HF178" s="57"/>
      <c r="HG178" s="57"/>
      <c r="HH178" s="57"/>
      <c r="HI178" s="57"/>
      <c r="HJ178" s="57"/>
      <c r="HK178" s="57"/>
      <c r="HL178" s="57"/>
      <c r="HM178" s="57"/>
      <c r="HN178" s="57"/>
      <c r="HO178" s="57"/>
      <c r="HP178" s="57"/>
      <c r="HQ178" s="57"/>
      <c r="HR178" s="57"/>
      <c r="HS178" s="57"/>
      <c r="HT178" s="57"/>
      <c r="HU178" s="57"/>
      <c r="HV178" s="57"/>
      <c r="HW178" s="57"/>
      <c r="HX178" s="57"/>
      <c r="HY178" s="57"/>
      <c r="HZ178" s="57"/>
      <c r="IA178" s="57"/>
      <c r="IB178" s="57"/>
      <c r="IC178" s="57"/>
      <c r="ID178" s="57"/>
      <c r="IE178" s="57"/>
      <c r="IF178" s="57"/>
      <c r="IG178" s="57"/>
      <c r="IH178" s="57"/>
      <c r="II178" s="57"/>
      <c r="IJ178" s="57"/>
      <c r="IK178" s="57"/>
      <c r="IL178" s="57"/>
      <c r="IM178" s="57"/>
      <c r="IN178" s="57"/>
      <c r="IO178" s="57"/>
      <c r="IP178" s="57"/>
      <c r="IQ178" s="57"/>
      <c r="IR178" s="57"/>
      <c r="IS178" s="57"/>
      <c r="IT178" s="57"/>
      <c r="IU178" s="57"/>
      <c r="IV178" s="57"/>
    </row>
    <row r="179" spans="1:256" s="58" customFormat="1" ht="12.75">
      <c r="A179" s="47" t="s">
        <v>26</v>
      </c>
      <c r="B179" s="47" t="s">
        <v>315</v>
      </c>
      <c r="C179" s="39" t="s">
        <v>10</v>
      </c>
      <c r="D179" s="39">
        <v>6012000012</v>
      </c>
      <c r="E179" s="39">
        <v>612000002</v>
      </c>
      <c r="F179" s="10" t="s">
        <v>394</v>
      </c>
      <c r="G179" s="10" t="s">
        <v>320</v>
      </c>
      <c r="H179" s="10"/>
      <c r="I179" s="50" t="s">
        <v>8</v>
      </c>
      <c r="J179" s="10" t="s">
        <v>173</v>
      </c>
      <c r="K179" s="61"/>
      <c r="L179" s="9" t="s">
        <v>142</v>
      </c>
      <c r="M179" s="62" t="s">
        <v>21</v>
      </c>
      <c r="N179" s="62" t="s">
        <v>21</v>
      </c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50"/>
      <c r="AI179" s="50"/>
      <c r="AJ179" s="50"/>
      <c r="AK179" s="43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44"/>
      <c r="CE179" s="54"/>
      <c r="CF179" s="54">
        <v>30</v>
      </c>
      <c r="CG179" s="54">
        <v>64</v>
      </c>
      <c r="CH179" s="54">
        <v>35</v>
      </c>
      <c r="CI179" s="54">
        <v>14</v>
      </c>
      <c r="CJ179" s="54">
        <f>18+20</f>
        <v>38</v>
      </c>
      <c r="CK179" s="54">
        <v>19</v>
      </c>
      <c r="CL179" s="54">
        <f>20+20</f>
        <v>40</v>
      </c>
      <c r="CM179" s="54">
        <f>21+19</f>
        <v>40</v>
      </c>
      <c r="CN179" s="54">
        <f>19+18</f>
        <v>37</v>
      </c>
      <c r="CO179" s="54">
        <f>18+23</f>
        <v>41</v>
      </c>
      <c r="CP179" s="54">
        <v>48</v>
      </c>
      <c r="CQ179" s="54"/>
      <c r="CR179" s="55"/>
      <c r="CS179" s="55"/>
      <c r="CT179" s="55"/>
      <c r="CU179" s="55"/>
      <c r="CV179" s="55"/>
      <c r="CW179" s="64"/>
      <c r="CX179" s="64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47"/>
      <c r="EL179" s="47"/>
      <c r="EM179" s="120"/>
      <c r="EN179" s="12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  <c r="GW179" s="57"/>
      <c r="GX179" s="57"/>
      <c r="GY179" s="57"/>
      <c r="GZ179" s="57"/>
      <c r="HA179" s="57"/>
      <c r="HB179" s="57"/>
      <c r="HC179" s="57"/>
      <c r="HD179" s="57"/>
      <c r="HE179" s="57"/>
      <c r="HF179" s="57"/>
      <c r="HG179" s="57"/>
      <c r="HH179" s="57"/>
      <c r="HI179" s="57"/>
      <c r="HJ179" s="57"/>
      <c r="HK179" s="57"/>
      <c r="HL179" s="57"/>
      <c r="HM179" s="57"/>
      <c r="HN179" s="57"/>
      <c r="HO179" s="57"/>
      <c r="HP179" s="57"/>
      <c r="HQ179" s="57"/>
      <c r="HR179" s="57"/>
      <c r="HS179" s="57"/>
      <c r="HT179" s="57"/>
      <c r="HU179" s="57"/>
      <c r="HV179" s="57"/>
      <c r="HW179" s="57"/>
      <c r="HX179" s="57"/>
      <c r="HY179" s="57"/>
      <c r="HZ179" s="57"/>
      <c r="IA179" s="57"/>
      <c r="IB179" s="57"/>
      <c r="IC179" s="57"/>
      <c r="ID179" s="57"/>
      <c r="IE179" s="57"/>
      <c r="IF179" s="57"/>
      <c r="IG179" s="57"/>
      <c r="IH179" s="57"/>
      <c r="II179" s="57"/>
      <c r="IJ179" s="57"/>
      <c r="IK179" s="57"/>
      <c r="IL179" s="57"/>
      <c r="IM179" s="57"/>
      <c r="IN179" s="57"/>
      <c r="IO179" s="57"/>
      <c r="IP179" s="57"/>
      <c r="IQ179" s="57"/>
      <c r="IR179" s="57"/>
      <c r="IS179" s="57"/>
      <c r="IT179" s="57"/>
      <c r="IU179" s="57"/>
      <c r="IV179" s="57"/>
    </row>
    <row r="180" spans="1:256" s="58" customFormat="1" ht="12.75">
      <c r="A180" s="47" t="s">
        <v>26</v>
      </c>
      <c r="B180" s="47" t="s">
        <v>315</v>
      </c>
      <c r="C180" s="39" t="s">
        <v>10</v>
      </c>
      <c r="D180" s="39">
        <v>7033100077</v>
      </c>
      <c r="E180" s="39">
        <v>734100111</v>
      </c>
      <c r="F180" s="26" t="s">
        <v>395</v>
      </c>
      <c r="G180" s="47" t="s">
        <v>321</v>
      </c>
      <c r="H180" s="10"/>
      <c r="I180" s="10" t="s">
        <v>166</v>
      </c>
      <c r="J180" s="10" t="s">
        <v>172</v>
      </c>
      <c r="K180" s="61"/>
      <c r="L180" s="9"/>
      <c r="M180" s="62"/>
      <c r="N180" s="61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50"/>
      <c r="AI180" s="50"/>
      <c r="AJ180" s="50"/>
      <c r="AK180" s="43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44"/>
      <c r="CE180" s="54"/>
      <c r="CF180" s="54">
        <v>30</v>
      </c>
      <c r="CG180" s="54">
        <v>25</v>
      </c>
      <c r="CH180" s="54">
        <v>28</v>
      </c>
      <c r="CI180" s="54">
        <f>24+18</f>
        <v>42</v>
      </c>
      <c r="CJ180" s="54">
        <f>25+9</f>
        <v>34</v>
      </c>
      <c r="CK180" s="54"/>
      <c r="CL180" s="54">
        <f>18+11</f>
        <v>29</v>
      </c>
      <c r="CM180" s="54">
        <f>17+27</f>
        <v>44</v>
      </c>
      <c r="CN180" s="54">
        <f>31+25</f>
        <v>56</v>
      </c>
      <c r="CO180" s="54">
        <f>43+12</f>
        <v>55</v>
      </c>
      <c r="CP180" s="54">
        <v>47</v>
      </c>
      <c r="CQ180" s="54">
        <v>18</v>
      </c>
      <c r="CR180" s="55"/>
      <c r="CS180" s="55"/>
      <c r="CT180" s="55"/>
      <c r="CU180" s="55"/>
      <c r="CV180" s="55"/>
      <c r="CW180" s="64"/>
      <c r="CX180" s="64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47"/>
      <c r="EL180" s="47"/>
      <c r="EM180" s="120"/>
      <c r="EN180" s="12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  <c r="GW180" s="57"/>
      <c r="GX180" s="57"/>
      <c r="GY180" s="57"/>
      <c r="GZ180" s="57"/>
      <c r="HA180" s="57"/>
      <c r="HB180" s="57"/>
      <c r="HC180" s="57"/>
      <c r="HD180" s="57"/>
      <c r="HE180" s="57"/>
      <c r="HF180" s="57"/>
      <c r="HG180" s="57"/>
      <c r="HH180" s="57"/>
      <c r="HI180" s="57"/>
      <c r="HJ180" s="57"/>
      <c r="HK180" s="57"/>
      <c r="HL180" s="57"/>
      <c r="HM180" s="57"/>
      <c r="HN180" s="57"/>
      <c r="HO180" s="57"/>
      <c r="HP180" s="57"/>
      <c r="HQ180" s="57"/>
      <c r="HR180" s="57"/>
      <c r="HS180" s="57"/>
      <c r="HT180" s="57"/>
      <c r="HU180" s="57"/>
      <c r="HV180" s="57"/>
      <c r="HW180" s="57"/>
      <c r="HX180" s="57"/>
      <c r="HY180" s="57"/>
      <c r="HZ180" s="57"/>
      <c r="IA180" s="57"/>
      <c r="IB180" s="57"/>
      <c r="IC180" s="57"/>
      <c r="ID180" s="57"/>
      <c r="IE180" s="57"/>
      <c r="IF180" s="57"/>
      <c r="IG180" s="57"/>
      <c r="IH180" s="57"/>
      <c r="II180" s="57"/>
      <c r="IJ180" s="57"/>
      <c r="IK180" s="57"/>
      <c r="IL180" s="57"/>
      <c r="IM180" s="57"/>
      <c r="IN180" s="57"/>
      <c r="IO180" s="57"/>
      <c r="IP180" s="57"/>
      <c r="IQ180" s="57"/>
      <c r="IR180" s="57"/>
      <c r="IS180" s="57"/>
      <c r="IT180" s="57"/>
      <c r="IU180" s="57"/>
      <c r="IV180" s="57"/>
    </row>
    <row r="181" spans="1:256" s="58" customFormat="1" ht="12.75">
      <c r="A181" s="47" t="s">
        <v>26</v>
      </c>
      <c r="B181" s="47" t="s">
        <v>315</v>
      </c>
      <c r="C181" s="39" t="s">
        <v>10</v>
      </c>
      <c r="D181" s="39">
        <v>7031200037</v>
      </c>
      <c r="E181" s="39">
        <v>731200069</v>
      </c>
      <c r="F181" s="10" t="s">
        <v>396</v>
      </c>
      <c r="G181" s="47" t="s">
        <v>321</v>
      </c>
      <c r="H181" s="10"/>
      <c r="I181" s="10" t="s">
        <v>166</v>
      </c>
      <c r="J181" s="10" t="s">
        <v>172</v>
      </c>
      <c r="K181" s="61"/>
      <c r="L181" s="9" t="s">
        <v>141</v>
      </c>
      <c r="M181" s="62" t="s">
        <v>21</v>
      </c>
      <c r="N181" s="62" t="s">
        <v>21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50"/>
      <c r="AI181" s="50"/>
      <c r="AJ181" s="50"/>
      <c r="AK181" s="43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44"/>
      <c r="CE181" s="54"/>
      <c r="CF181" s="54">
        <v>19</v>
      </c>
      <c r="CG181" s="54">
        <v>18</v>
      </c>
      <c r="CH181" s="54">
        <v>18</v>
      </c>
      <c r="CI181" s="54">
        <f>17+10</f>
        <v>27</v>
      </c>
      <c r="CJ181" s="54">
        <v>10</v>
      </c>
      <c r="CK181" s="54">
        <v>11</v>
      </c>
      <c r="CL181" s="54">
        <v>10</v>
      </c>
      <c r="CM181" s="54">
        <f>10+15</f>
        <v>25</v>
      </c>
      <c r="CN181" s="54">
        <f>14+0</f>
        <v>14</v>
      </c>
      <c r="CO181" s="54">
        <f>13+12</f>
        <v>25</v>
      </c>
      <c r="CP181" s="54">
        <v>12</v>
      </c>
      <c r="CQ181" s="54">
        <v>9</v>
      </c>
      <c r="CR181" s="55"/>
      <c r="CS181" s="55"/>
      <c r="CT181" s="55"/>
      <c r="CU181" s="55"/>
      <c r="CV181" s="55"/>
      <c r="CW181" s="64"/>
      <c r="CX181" s="64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47"/>
      <c r="EL181" s="47"/>
      <c r="EM181" s="120"/>
      <c r="EN181" s="12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  <c r="GW181" s="57"/>
      <c r="GX181" s="57"/>
      <c r="GY181" s="57"/>
      <c r="GZ181" s="57"/>
      <c r="HA181" s="57"/>
      <c r="HB181" s="57"/>
      <c r="HC181" s="57"/>
      <c r="HD181" s="57"/>
      <c r="HE181" s="57"/>
      <c r="HF181" s="57"/>
      <c r="HG181" s="57"/>
      <c r="HH181" s="57"/>
      <c r="HI181" s="57"/>
      <c r="HJ181" s="57"/>
      <c r="HK181" s="57"/>
      <c r="HL181" s="57"/>
      <c r="HM181" s="57"/>
      <c r="HN181" s="57"/>
      <c r="HO181" s="57"/>
      <c r="HP181" s="57"/>
      <c r="HQ181" s="57"/>
      <c r="HR181" s="57"/>
      <c r="HS181" s="57"/>
      <c r="HT181" s="57"/>
      <c r="HU181" s="57"/>
      <c r="HV181" s="57"/>
      <c r="HW181" s="57"/>
      <c r="HX181" s="57"/>
      <c r="HY181" s="57"/>
      <c r="HZ181" s="57"/>
      <c r="IA181" s="57"/>
      <c r="IB181" s="57"/>
      <c r="IC181" s="57"/>
      <c r="ID181" s="57"/>
      <c r="IE181" s="57"/>
      <c r="IF181" s="57"/>
      <c r="IG181" s="57"/>
      <c r="IH181" s="57"/>
      <c r="II181" s="57"/>
      <c r="IJ181" s="57"/>
      <c r="IK181" s="57"/>
      <c r="IL181" s="57"/>
      <c r="IM181" s="57"/>
      <c r="IN181" s="57"/>
      <c r="IO181" s="57"/>
      <c r="IP181" s="57"/>
      <c r="IQ181" s="57"/>
      <c r="IR181" s="57"/>
      <c r="IS181" s="57"/>
      <c r="IT181" s="57"/>
      <c r="IU181" s="57"/>
      <c r="IV181" s="57"/>
    </row>
    <row r="182" spans="1:256" s="58" customFormat="1" ht="12.75">
      <c r="A182" s="47" t="s">
        <v>26</v>
      </c>
      <c r="B182" s="47" t="s">
        <v>315</v>
      </c>
      <c r="C182" s="39" t="s">
        <v>10</v>
      </c>
      <c r="D182" s="39">
        <v>7031000001</v>
      </c>
      <c r="E182" s="39">
        <v>731000003</v>
      </c>
      <c r="F182" s="10" t="s">
        <v>397</v>
      </c>
      <c r="G182" s="47" t="s">
        <v>321</v>
      </c>
      <c r="H182" s="10"/>
      <c r="I182" s="10" t="s">
        <v>166</v>
      </c>
      <c r="J182" s="10" t="s">
        <v>172</v>
      </c>
      <c r="K182" s="61"/>
      <c r="L182" s="9" t="s">
        <v>141</v>
      </c>
      <c r="M182" s="62" t="s">
        <v>21</v>
      </c>
      <c r="N182" s="62" t="s">
        <v>21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42"/>
      <c r="AH182" s="50"/>
      <c r="AI182" s="50"/>
      <c r="AJ182" s="50"/>
      <c r="AK182" s="43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44"/>
      <c r="CE182" s="54"/>
      <c r="CF182" s="54">
        <v>9</v>
      </c>
      <c r="CG182" s="54">
        <v>28</v>
      </c>
      <c r="CH182" s="54">
        <v>17</v>
      </c>
      <c r="CI182" s="54">
        <f>19+11</f>
        <v>30</v>
      </c>
      <c r="CJ182" s="54">
        <f>19+10</f>
        <v>29</v>
      </c>
      <c r="CK182" s="54">
        <v>15</v>
      </c>
      <c r="CL182" s="54">
        <f>20+15</f>
        <v>35</v>
      </c>
      <c r="CM182" s="54">
        <f>26+13</f>
        <v>39</v>
      </c>
      <c r="CN182" s="54">
        <f>25+9</f>
        <v>34</v>
      </c>
      <c r="CO182" s="54">
        <f>21+6</f>
        <v>27</v>
      </c>
      <c r="CP182" s="54">
        <v>30</v>
      </c>
      <c r="CQ182" s="54">
        <v>21</v>
      </c>
      <c r="CR182" s="55"/>
      <c r="CS182" s="10"/>
      <c r="CT182" s="50"/>
      <c r="CU182" s="55"/>
      <c r="CV182" s="55"/>
      <c r="CW182" s="64"/>
      <c r="CX182" s="64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47"/>
      <c r="EL182" s="47"/>
      <c r="EM182" s="120"/>
      <c r="EN182" s="12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  <c r="GW182" s="57"/>
      <c r="GX182" s="57"/>
      <c r="GY182" s="57"/>
      <c r="GZ182" s="57"/>
      <c r="HA182" s="57"/>
      <c r="HB182" s="57"/>
      <c r="HC182" s="57"/>
      <c r="HD182" s="57"/>
      <c r="HE182" s="57"/>
      <c r="HF182" s="57"/>
      <c r="HG182" s="57"/>
      <c r="HH182" s="57"/>
      <c r="HI182" s="57"/>
      <c r="HJ182" s="57"/>
      <c r="HK182" s="57"/>
      <c r="HL182" s="57"/>
      <c r="HM182" s="57"/>
      <c r="HN182" s="57"/>
      <c r="HO182" s="57"/>
      <c r="HP182" s="57"/>
      <c r="HQ182" s="57"/>
      <c r="HR182" s="57"/>
      <c r="HS182" s="57"/>
      <c r="HT182" s="57"/>
      <c r="HU182" s="57"/>
      <c r="HV182" s="57"/>
      <c r="HW182" s="57"/>
      <c r="HX182" s="57"/>
      <c r="HY182" s="57"/>
      <c r="HZ182" s="57"/>
      <c r="IA182" s="57"/>
      <c r="IB182" s="57"/>
      <c r="IC182" s="57"/>
      <c r="ID182" s="57"/>
      <c r="IE182" s="57"/>
      <c r="IF182" s="57"/>
      <c r="IG182" s="57"/>
      <c r="IH182" s="57"/>
      <c r="II182" s="57"/>
      <c r="IJ182" s="57"/>
      <c r="IK182" s="57"/>
      <c r="IL182" s="57"/>
      <c r="IM182" s="57"/>
      <c r="IN182" s="57"/>
      <c r="IO182" s="57"/>
      <c r="IP182" s="57"/>
      <c r="IQ182" s="57"/>
      <c r="IR182" s="57"/>
      <c r="IS182" s="57"/>
      <c r="IT182" s="57"/>
      <c r="IU182" s="57"/>
      <c r="IV182" s="57"/>
    </row>
    <row r="183" spans="1:256" s="58" customFormat="1" ht="12.75">
      <c r="A183" s="47" t="s">
        <v>26</v>
      </c>
      <c r="B183" s="47" t="s">
        <v>315</v>
      </c>
      <c r="C183" s="39" t="s">
        <v>10</v>
      </c>
      <c r="D183" s="39">
        <v>7011500001</v>
      </c>
      <c r="E183" s="39">
        <v>711000002</v>
      </c>
      <c r="F183" s="10" t="s">
        <v>398</v>
      </c>
      <c r="G183" s="47" t="s">
        <v>321</v>
      </c>
      <c r="H183" s="10"/>
      <c r="I183" s="47" t="s">
        <v>8</v>
      </c>
      <c r="J183" s="10" t="s">
        <v>173</v>
      </c>
      <c r="K183" s="61"/>
      <c r="L183" s="9" t="s">
        <v>142</v>
      </c>
      <c r="M183" s="62" t="s">
        <v>21</v>
      </c>
      <c r="N183" s="62" t="s">
        <v>21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42"/>
      <c r="AH183" s="50"/>
      <c r="AI183" s="50"/>
      <c r="AJ183" s="50"/>
      <c r="AK183" s="43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44"/>
      <c r="CE183" s="54"/>
      <c r="CF183" s="54">
        <v>87</v>
      </c>
      <c r="CG183" s="54">
        <v>28</v>
      </c>
      <c r="CH183" s="54">
        <v>28</v>
      </c>
      <c r="CI183" s="54">
        <v>23</v>
      </c>
      <c r="CJ183" s="54">
        <f>19+28</f>
        <v>47</v>
      </c>
      <c r="CK183" s="54"/>
      <c r="CL183" s="54">
        <f>28+12</f>
        <v>40</v>
      </c>
      <c r="CM183" s="54">
        <f>12+0</f>
        <v>12</v>
      </c>
      <c r="CN183" s="54">
        <f>11+12</f>
        <v>23</v>
      </c>
      <c r="CO183" s="54">
        <v>11</v>
      </c>
      <c r="CP183" s="54">
        <v>40</v>
      </c>
      <c r="CQ183" s="54">
        <v>28</v>
      </c>
      <c r="CR183" s="55"/>
      <c r="CS183" s="10"/>
      <c r="CT183" s="50"/>
      <c r="CU183" s="55"/>
      <c r="CV183" s="55"/>
      <c r="CW183" s="64"/>
      <c r="CX183" s="64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47"/>
      <c r="EL183" s="47"/>
      <c r="EM183" s="120"/>
      <c r="EN183" s="12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  <c r="GW183" s="57"/>
      <c r="GX183" s="57"/>
      <c r="GY183" s="57"/>
      <c r="GZ183" s="57"/>
      <c r="HA183" s="57"/>
      <c r="HB183" s="57"/>
      <c r="HC183" s="57"/>
      <c r="HD183" s="57"/>
      <c r="HE183" s="57"/>
      <c r="HF183" s="57"/>
      <c r="HG183" s="57"/>
      <c r="HH183" s="57"/>
      <c r="HI183" s="57"/>
      <c r="HJ183" s="57"/>
      <c r="HK183" s="57"/>
      <c r="HL183" s="57"/>
      <c r="HM183" s="57"/>
      <c r="HN183" s="57"/>
      <c r="HO183" s="57"/>
      <c r="HP183" s="57"/>
      <c r="HQ183" s="57"/>
      <c r="HR183" s="57"/>
      <c r="HS183" s="57"/>
      <c r="HT183" s="57"/>
      <c r="HU183" s="57"/>
      <c r="HV183" s="57"/>
      <c r="HW183" s="57"/>
      <c r="HX183" s="57"/>
      <c r="HY183" s="57"/>
      <c r="HZ183" s="57"/>
      <c r="IA183" s="57"/>
      <c r="IB183" s="57"/>
      <c r="IC183" s="57"/>
      <c r="ID183" s="57"/>
      <c r="IE183" s="57"/>
      <c r="IF183" s="57"/>
      <c r="IG183" s="57"/>
      <c r="IH183" s="57"/>
      <c r="II183" s="57"/>
      <c r="IJ183" s="57"/>
      <c r="IK183" s="57"/>
      <c r="IL183" s="57"/>
      <c r="IM183" s="57"/>
      <c r="IN183" s="57"/>
      <c r="IO183" s="57"/>
      <c r="IP183" s="57"/>
      <c r="IQ183" s="57"/>
      <c r="IR183" s="57"/>
      <c r="IS183" s="57"/>
      <c r="IT183" s="57"/>
      <c r="IU183" s="57"/>
      <c r="IV183" s="57"/>
    </row>
    <row r="184" spans="1:256" s="58" customFormat="1" ht="12.75">
      <c r="A184" s="47" t="s">
        <v>26</v>
      </c>
      <c r="B184" s="47" t="s">
        <v>315</v>
      </c>
      <c r="C184" s="39" t="s">
        <v>10</v>
      </c>
      <c r="D184" s="39">
        <v>7042300004</v>
      </c>
      <c r="E184" s="39">
        <v>731300043</v>
      </c>
      <c r="F184" s="26" t="s">
        <v>399</v>
      </c>
      <c r="G184" s="47" t="s">
        <v>321</v>
      </c>
      <c r="H184" s="10"/>
      <c r="I184" s="10" t="s">
        <v>166</v>
      </c>
      <c r="J184" s="10" t="s">
        <v>172</v>
      </c>
      <c r="K184" s="61"/>
      <c r="L184" s="9" t="s">
        <v>141</v>
      </c>
      <c r="M184" s="62" t="s">
        <v>21</v>
      </c>
      <c r="N184" s="62" t="s">
        <v>21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42"/>
      <c r="AH184" s="50"/>
      <c r="AI184" s="50"/>
      <c r="AJ184" s="50"/>
      <c r="AK184" s="43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44"/>
      <c r="CE184" s="54"/>
      <c r="CF184" s="54">
        <v>5</v>
      </c>
      <c r="CG184" s="54">
        <v>9</v>
      </c>
      <c r="CH184" s="54">
        <v>10</v>
      </c>
      <c r="CI184" s="54">
        <v>16</v>
      </c>
      <c r="CJ184" s="54">
        <v>15</v>
      </c>
      <c r="CK184" s="54"/>
      <c r="CL184" s="54">
        <v>12</v>
      </c>
      <c r="CM184" s="54">
        <f>30+0</f>
        <v>30</v>
      </c>
      <c r="CN184" s="54">
        <f>28+0</f>
        <v>28</v>
      </c>
      <c r="CO184" s="54">
        <v>31</v>
      </c>
      <c r="CP184" s="54">
        <v>26</v>
      </c>
      <c r="CQ184" s="54">
        <v>31</v>
      </c>
      <c r="CR184" s="55"/>
      <c r="CS184" s="10"/>
      <c r="CT184" s="50"/>
      <c r="CU184" s="55"/>
      <c r="CV184" s="55"/>
      <c r="CW184" s="64"/>
      <c r="CX184" s="64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47"/>
      <c r="EL184" s="47"/>
      <c r="EM184" s="120"/>
      <c r="EN184" s="12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  <c r="GW184" s="57"/>
      <c r="GX184" s="57"/>
      <c r="GY184" s="57"/>
      <c r="GZ184" s="57"/>
      <c r="HA184" s="57"/>
      <c r="HB184" s="57"/>
      <c r="HC184" s="57"/>
      <c r="HD184" s="57"/>
      <c r="HE184" s="57"/>
      <c r="HF184" s="57"/>
      <c r="HG184" s="57"/>
      <c r="HH184" s="57"/>
      <c r="HI184" s="57"/>
      <c r="HJ184" s="57"/>
      <c r="HK184" s="57"/>
      <c r="HL184" s="57"/>
      <c r="HM184" s="57"/>
      <c r="HN184" s="57"/>
      <c r="HO184" s="57"/>
      <c r="HP184" s="57"/>
      <c r="HQ184" s="57"/>
      <c r="HR184" s="57"/>
      <c r="HS184" s="57"/>
      <c r="HT184" s="57"/>
      <c r="HU184" s="57"/>
      <c r="HV184" s="57"/>
      <c r="HW184" s="57"/>
      <c r="HX184" s="57"/>
      <c r="HY184" s="57"/>
      <c r="HZ184" s="57"/>
      <c r="IA184" s="57"/>
      <c r="IB184" s="57"/>
      <c r="IC184" s="57"/>
      <c r="ID184" s="57"/>
      <c r="IE184" s="57"/>
      <c r="IF184" s="57"/>
      <c r="IG184" s="57"/>
      <c r="IH184" s="57"/>
      <c r="II184" s="57"/>
      <c r="IJ184" s="57"/>
      <c r="IK184" s="57"/>
      <c r="IL184" s="57"/>
      <c r="IM184" s="57"/>
      <c r="IN184" s="57"/>
      <c r="IO184" s="57"/>
      <c r="IP184" s="57"/>
      <c r="IQ184" s="57"/>
      <c r="IR184" s="57"/>
      <c r="IS184" s="57"/>
      <c r="IT184" s="57"/>
      <c r="IU184" s="57"/>
      <c r="IV184" s="57"/>
    </row>
    <row r="185" spans="1:256" s="58" customFormat="1" ht="12.75">
      <c r="A185" s="47" t="s">
        <v>26</v>
      </c>
      <c r="B185" s="47" t="s">
        <v>315</v>
      </c>
      <c r="C185" s="39" t="s">
        <v>10</v>
      </c>
      <c r="D185" s="39">
        <v>8011500001</v>
      </c>
      <c r="E185" s="39">
        <v>811000001</v>
      </c>
      <c r="F185" s="10" t="s">
        <v>400</v>
      </c>
      <c r="G185" s="50" t="s">
        <v>319</v>
      </c>
      <c r="H185" s="10"/>
      <c r="I185" s="47" t="s">
        <v>8</v>
      </c>
      <c r="J185" s="10" t="s">
        <v>173</v>
      </c>
      <c r="K185" s="61"/>
      <c r="L185" s="9" t="s">
        <v>141</v>
      </c>
      <c r="M185" s="62" t="s">
        <v>21</v>
      </c>
      <c r="N185" s="62" t="s">
        <v>21</v>
      </c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50"/>
      <c r="AI185" s="50"/>
      <c r="AJ185" s="50"/>
      <c r="AK185" s="43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44"/>
      <c r="CE185" s="54"/>
      <c r="CF185" s="54">
        <v>9</v>
      </c>
      <c r="CG185" s="54">
        <v>10</v>
      </c>
      <c r="CH185" s="54">
        <v>10</v>
      </c>
      <c r="CI185" s="54">
        <v>26</v>
      </c>
      <c r="CJ185" s="54">
        <v>16</v>
      </c>
      <c r="CK185" s="54">
        <v>8</v>
      </c>
      <c r="CL185" s="54">
        <v>9</v>
      </c>
      <c r="CM185" s="54">
        <f>9+0</f>
        <v>9</v>
      </c>
      <c r="CN185" s="54">
        <f>9+0</f>
        <v>9</v>
      </c>
      <c r="CO185" s="54">
        <v>6</v>
      </c>
      <c r="CP185" s="54">
        <v>5</v>
      </c>
      <c r="CQ185" s="54">
        <v>12</v>
      </c>
      <c r="CR185" s="55"/>
      <c r="CS185" s="55"/>
      <c r="CT185" s="55"/>
      <c r="CU185" s="55"/>
      <c r="CV185" s="55"/>
      <c r="CW185" s="64"/>
      <c r="CX185" s="64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47"/>
      <c r="EL185" s="47"/>
      <c r="EM185" s="120"/>
      <c r="EN185" s="12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  <c r="IP185" s="57"/>
      <c r="IQ185" s="57"/>
      <c r="IR185" s="57"/>
      <c r="IS185" s="57"/>
      <c r="IT185" s="57"/>
      <c r="IU185" s="57"/>
      <c r="IV185" s="57"/>
    </row>
    <row r="186" spans="1:256" s="58" customFormat="1" ht="12.75">
      <c r="A186" s="47" t="s">
        <v>26</v>
      </c>
      <c r="B186" s="47" t="s">
        <v>315</v>
      </c>
      <c r="C186" s="39" t="s">
        <v>10</v>
      </c>
      <c r="D186" s="39" t="s">
        <v>211</v>
      </c>
      <c r="E186" s="39"/>
      <c r="F186" s="10" t="s">
        <v>401</v>
      </c>
      <c r="G186" s="50" t="s">
        <v>319</v>
      </c>
      <c r="H186" s="10"/>
      <c r="I186" s="10" t="s">
        <v>166</v>
      </c>
      <c r="J186" s="10" t="s">
        <v>172</v>
      </c>
      <c r="K186" s="61"/>
      <c r="L186" s="9"/>
      <c r="M186" s="62"/>
      <c r="N186" s="62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50"/>
      <c r="AI186" s="50"/>
      <c r="AJ186" s="50"/>
      <c r="AK186" s="43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44"/>
      <c r="CE186" s="54"/>
      <c r="CF186" s="54">
        <v>0</v>
      </c>
      <c r="CG186" s="54">
        <v>0</v>
      </c>
      <c r="CH186" s="54">
        <v>0</v>
      </c>
      <c r="CI186" s="54"/>
      <c r="CJ186" s="54"/>
      <c r="CK186" s="54"/>
      <c r="CL186" s="54"/>
      <c r="CM186" s="54">
        <f>0+0</f>
        <v>0</v>
      </c>
      <c r="CN186" s="54">
        <v>0</v>
      </c>
      <c r="CO186" s="54"/>
      <c r="CP186" s="54"/>
      <c r="CQ186" s="54"/>
      <c r="CR186" s="55"/>
      <c r="CS186" s="55"/>
      <c r="CT186" s="55"/>
      <c r="CU186" s="55"/>
      <c r="CV186" s="55"/>
      <c r="CW186" s="64"/>
      <c r="CX186" s="64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47"/>
      <c r="EL186" s="47"/>
      <c r="EM186" s="120"/>
      <c r="EN186" s="12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  <c r="HW186" s="57"/>
      <c r="HX186" s="57"/>
      <c r="HY186" s="57"/>
      <c r="HZ186" s="57"/>
      <c r="IA186" s="57"/>
      <c r="IB186" s="57"/>
      <c r="IC186" s="57"/>
      <c r="ID186" s="57"/>
      <c r="IE186" s="57"/>
      <c r="IF186" s="57"/>
      <c r="IG186" s="57"/>
      <c r="IH186" s="57"/>
      <c r="II186" s="57"/>
      <c r="IJ186" s="57"/>
      <c r="IK186" s="57"/>
      <c r="IL186" s="57"/>
      <c r="IM186" s="57"/>
      <c r="IN186" s="57"/>
      <c r="IO186" s="57"/>
      <c r="IP186" s="57"/>
      <c r="IQ186" s="57"/>
      <c r="IR186" s="57"/>
      <c r="IS186" s="57"/>
      <c r="IT186" s="57"/>
      <c r="IU186" s="57"/>
      <c r="IV186" s="57"/>
    </row>
    <row r="187" spans="1:256" s="58" customFormat="1" ht="12.75">
      <c r="A187" s="47" t="s">
        <v>26</v>
      </c>
      <c r="B187" s="47" t="s">
        <v>315</v>
      </c>
      <c r="C187" s="39" t="s">
        <v>10</v>
      </c>
      <c r="D187" s="39">
        <v>8031200016</v>
      </c>
      <c r="E187" s="39">
        <v>831200024</v>
      </c>
      <c r="F187" s="10" t="s">
        <v>402</v>
      </c>
      <c r="G187" s="50" t="s">
        <v>319</v>
      </c>
      <c r="H187" s="10"/>
      <c r="I187" s="10"/>
      <c r="J187" s="10"/>
      <c r="K187" s="61"/>
      <c r="L187" s="9" t="s">
        <v>141</v>
      </c>
      <c r="M187" s="62" t="s">
        <v>21</v>
      </c>
      <c r="N187" s="62" t="s">
        <v>21</v>
      </c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50"/>
      <c r="AI187" s="50"/>
      <c r="AJ187" s="50"/>
      <c r="AK187" s="43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44"/>
      <c r="CE187" s="54"/>
      <c r="CF187" s="54"/>
      <c r="CG187" s="54"/>
      <c r="CH187" s="54"/>
      <c r="CI187" s="54"/>
      <c r="CJ187" s="54"/>
      <c r="CK187" s="54"/>
      <c r="CL187" s="54">
        <v>10</v>
      </c>
      <c r="CM187" s="54">
        <f>9+0</f>
        <v>9</v>
      </c>
      <c r="CN187" s="54">
        <f>9+0</f>
        <v>9</v>
      </c>
      <c r="CO187" s="54">
        <v>18</v>
      </c>
      <c r="CP187" s="54">
        <v>9</v>
      </c>
      <c r="CQ187" s="54">
        <v>9</v>
      </c>
      <c r="CR187" s="54"/>
      <c r="CS187" s="54"/>
      <c r="CT187" s="55"/>
      <c r="CU187" s="55"/>
      <c r="CV187" s="55"/>
      <c r="CW187" s="64"/>
      <c r="CX187" s="64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47"/>
      <c r="EL187" s="47"/>
      <c r="EM187" s="120"/>
      <c r="EN187" s="12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  <c r="HE187" s="57"/>
      <c r="HF187" s="57"/>
      <c r="HG187" s="57"/>
      <c r="HH187" s="57"/>
      <c r="HI187" s="57"/>
      <c r="HJ187" s="57"/>
      <c r="HK187" s="57"/>
      <c r="HL187" s="57"/>
      <c r="HM187" s="57"/>
      <c r="HN187" s="57"/>
      <c r="HO187" s="57"/>
      <c r="HP187" s="57"/>
      <c r="HQ187" s="57"/>
      <c r="HR187" s="57"/>
      <c r="HS187" s="57"/>
      <c r="HT187" s="57"/>
      <c r="HU187" s="57"/>
      <c r="HV187" s="57"/>
      <c r="HW187" s="57"/>
      <c r="HX187" s="57"/>
      <c r="HY187" s="57"/>
      <c r="HZ187" s="57"/>
      <c r="IA187" s="57"/>
      <c r="IB187" s="57"/>
      <c r="IC187" s="57"/>
      <c r="ID187" s="57"/>
      <c r="IE187" s="57"/>
      <c r="IF187" s="57"/>
      <c r="IG187" s="57"/>
      <c r="IH187" s="57"/>
      <c r="II187" s="57"/>
      <c r="IJ187" s="57"/>
      <c r="IK187" s="57"/>
      <c r="IL187" s="57"/>
      <c r="IM187" s="57"/>
      <c r="IN187" s="57"/>
      <c r="IO187" s="57"/>
      <c r="IP187" s="57"/>
      <c r="IQ187" s="57"/>
      <c r="IR187" s="57"/>
      <c r="IS187" s="57"/>
      <c r="IT187" s="57"/>
      <c r="IU187" s="57"/>
      <c r="IV187" s="57"/>
    </row>
    <row r="188" spans="1:256" s="58" customFormat="1" ht="12.75">
      <c r="A188" s="47" t="s">
        <v>26</v>
      </c>
      <c r="B188" s="47" t="s">
        <v>315</v>
      </c>
      <c r="C188" s="39" t="s">
        <v>10</v>
      </c>
      <c r="D188" s="39"/>
      <c r="E188" s="39"/>
      <c r="F188" s="10" t="s">
        <v>406</v>
      </c>
      <c r="G188" s="50" t="s">
        <v>319</v>
      </c>
      <c r="H188" s="10"/>
      <c r="I188" s="10"/>
      <c r="J188" s="10"/>
      <c r="K188" s="61"/>
      <c r="L188" s="9"/>
      <c r="M188" s="62"/>
      <c r="N188" s="62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50"/>
      <c r="AI188" s="50"/>
      <c r="AJ188" s="50"/>
      <c r="AK188" s="43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4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>
        <v>17</v>
      </c>
      <c r="CP188" s="54">
        <v>36</v>
      </c>
      <c r="CQ188" s="54">
        <v>41</v>
      </c>
      <c r="CR188" s="54"/>
      <c r="CS188" s="54"/>
      <c r="CT188" s="55"/>
      <c r="CU188" s="55"/>
      <c r="CV188" s="55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120"/>
      <c r="EN188" s="120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7"/>
      <c r="HV188" s="57"/>
      <c r="HW188" s="57"/>
      <c r="HX188" s="57"/>
      <c r="HY188" s="57"/>
      <c r="HZ188" s="57"/>
      <c r="IA188" s="57"/>
      <c r="IB188" s="57"/>
      <c r="IC188" s="57"/>
      <c r="ID188" s="57"/>
      <c r="IE188" s="57"/>
      <c r="IF188" s="57"/>
      <c r="IG188" s="57"/>
      <c r="IH188" s="57"/>
      <c r="II188" s="57"/>
      <c r="IJ188" s="57"/>
      <c r="IK188" s="57"/>
      <c r="IL188" s="57"/>
      <c r="IM188" s="57"/>
      <c r="IN188" s="57"/>
      <c r="IO188" s="57"/>
      <c r="IP188" s="57"/>
      <c r="IQ188" s="57"/>
      <c r="IR188" s="57"/>
      <c r="IS188" s="57"/>
      <c r="IT188" s="57"/>
      <c r="IU188" s="57"/>
      <c r="IV188" s="57"/>
    </row>
    <row r="189" spans="1:256" s="58" customFormat="1" ht="12.75">
      <c r="A189" s="47" t="s">
        <v>26</v>
      </c>
      <c r="B189" s="47" t="s">
        <v>315</v>
      </c>
      <c r="C189" s="39" t="s">
        <v>10</v>
      </c>
      <c r="D189" s="39">
        <v>8031000001</v>
      </c>
      <c r="E189" s="39">
        <v>831000002</v>
      </c>
      <c r="F189" s="10" t="s">
        <v>403</v>
      </c>
      <c r="G189" s="50" t="s">
        <v>319</v>
      </c>
      <c r="H189" s="10"/>
      <c r="I189" s="10" t="s">
        <v>166</v>
      </c>
      <c r="J189" s="10" t="s">
        <v>172</v>
      </c>
      <c r="K189" s="61"/>
      <c r="L189" s="9" t="s">
        <v>141</v>
      </c>
      <c r="M189" s="62" t="s">
        <v>21</v>
      </c>
      <c r="N189" s="62" t="s">
        <v>21</v>
      </c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50"/>
      <c r="AI189" s="50"/>
      <c r="AJ189" s="50"/>
      <c r="AK189" s="43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4"/>
      <c r="BH189" s="54"/>
      <c r="BI189" s="54"/>
      <c r="BJ189" s="54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47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>
        <v>5</v>
      </c>
      <c r="CH189" s="54">
        <v>5</v>
      </c>
      <c r="CI189" s="54">
        <f>16+8</f>
        <v>24</v>
      </c>
      <c r="CJ189" s="54">
        <f>22+8</f>
        <v>30</v>
      </c>
      <c r="CK189" s="54">
        <v>6</v>
      </c>
      <c r="CL189" s="54">
        <f>22+7</f>
        <v>29</v>
      </c>
      <c r="CM189" s="54">
        <f>22+15</f>
        <v>37</v>
      </c>
      <c r="CN189" s="54">
        <f>28+11</f>
        <v>39</v>
      </c>
      <c r="CO189" s="54">
        <f>32+7</f>
        <v>39</v>
      </c>
      <c r="CP189" s="54">
        <v>38</v>
      </c>
      <c r="CQ189" s="54">
        <v>24</v>
      </c>
      <c r="CR189" s="54"/>
      <c r="CS189" s="54"/>
      <c r="CT189" s="50"/>
      <c r="CU189" s="50"/>
      <c r="CV189" s="55"/>
      <c r="CW189" s="50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120"/>
      <c r="EN189" s="120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  <c r="HW189" s="57"/>
      <c r="HX189" s="57"/>
      <c r="HY189" s="57"/>
      <c r="HZ189" s="57"/>
      <c r="IA189" s="57"/>
      <c r="IB189" s="57"/>
      <c r="IC189" s="57"/>
      <c r="ID189" s="57"/>
      <c r="IE189" s="57"/>
      <c r="IF189" s="57"/>
      <c r="IG189" s="57"/>
      <c r="IH189" s="57"/>
      <c r="II189" s="57"/>
      <c r="IJ189" s="57"/>
      <c r="IK189" s="57"/>
      <c r="IL189" s="57"/>
      <c r="IM189" s="57"/>
      <c r="IN189" s="57"/>
      <c r="IO189" s="57"/>
      <c r="IP189" s="57"/>
      <c r="IQ189" s="57"/>
      <c r="IR189" s="57"/>
      <c r="IS189" s="57"/>
      <c r="IT189" s="57"/>
      <c r="IU189" s="57"/>
      <c r="IV189" s="57"/>
    </row>
    <row r="190" spans="1:256" s="58" customFormat="1" ht="26.25">
      <c r="A190" s="47" t="s">
        <v>316</v>
      </c>
      <c r="B190" s="47" t="s">
        <v>316</v>
      </c>
      <c r="C190" s="69" t="s">
        <v>152</v>
      </c>
      <c r="D190" s="39"/>
      <c r="E190" s="39"/>
      <c r="F190" s="72" t="s">
        <v>154</v>
      </c>
      <c r="G190" s="10" t="s">
        <v>324</v>
      </c>
      <c r="H190" s="10" t="s">
        <v>62</v>
      </c>
      <c r="I190" s="10" t="s">
        <v>165</v>
      </c>
      <c r="J190" s="10" t="s">
        <v>170</v>
      </c>
      <c r="K190" s="61">
        <v>0.4965034965034965</v>
      </c>
      <c r="L190" s="75">
        <v>0.6696428571428571</v>
      </c>
      <c r="M190" s="62"/>
      <c r="N190" s="62"/>
      <c r="O190" s="76"/>
      <c r="P190" s="76"/>
      <c r="Q190" s="76"/>
      <c r="R190" s="76"/>
      <c r="S190" s="76"/>
      <c r="T190" s="76"/>
      <c r="U190" s="60"/>
      <c r="V190" s="60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81"/>
      <c r="AI190" s="81"/>
      <c r="AJ190" s="81"/>
      <c r="AK190" s="146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60"/>
      <c r="BD190" s="60"/>
      <c r="BE190" s="60"/>
      <c r="BF190" s="60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1">
        <v>220</v>
      </c>
      <c r="BX190" s="54">
        <v>131</v>
      </c>
      <c r="BY190" s="54">
        <v>57</v>
      </c>
      <c r="BZ190" s="54">
        <v>23</v>
      </c>
      <c r="CA190" s="54"/>
      <c r="CB190" s="54"/>
      <c r="CC190" s="54">
        <v>145</v>
      </c>
      <c r="CD190" s="44">
        <v>125</v>
      </c>
      <c r="CE190" s="54"/>
      <c r="CF190" s="54"/>
      <c r="CG190" s="147">
        <f>153+21</f>
        <v>174</v>
      </c>
      <c r="CH190" s="147">
        <f>179+32</f>
        <v>211</v>
      </c>
      <c r="CI190" s="147">
        <v>138</v>
      </c>
      <c r="CJ190" s="147"/>
      <c r="CK190" s="147"/>
      <c r="CL190" s="147"/>
      <c r="CM190" s="147"/>
      <c r="CN190" s="147"/>
      <c r="CO190" s="147"/>
      <c r="CP190" s="147"/>
      <c r="CQ190" s="147"/>
      <c r="CR190" s="55">
        <v>0.8</v>
      </c>
      <c r="CS190" s="55">
        <v>0.91</v>
      </c>
      <c r="CT190" s="55">
        <v>0.57</v>
      </c>
      <c r="CU190" s="55">
        <v>0.57</v>
      </c>
      <c r="CV190" s="55">
        <v>0.85</v>
      </c>
      <c r="CW190" s="50"/>
      <c r="CX190" s="47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140"/>
      <c r="EJ190" s="140"/>
      <c r="EK190" s="47"/>
      <c r="EL190" s="47"/>
      <c r="EM190" s="47"/>
      <c r="EN190" s="47"/>
      <c r="EO190" s="120"/>
      <c r="EP190" s="120"/>
      <c r="EQ190" s="47"/>
      <c r="ER190" s="47"/>
      <c r="ES190" s="120"/>
      <c r="ET190" s="120"/>
      <c r="EU190" s="140"/>
      <c r="EV190" s="140"/>
      <c r="EW190" s="120"/>
      <c r="EX190" s="120"/>
      <c r="EY190" s="47"/>
      <c r="EZ190" s="47"/>
      <c r="FA190" s="120"/>
      <c r="FB190" s="120"/>
      <c r="FC190" s="47"/>
      <c r="FD190" s="47"/>
      <c r="FE190" s="47"/>
      <c r="FF190" s="47"/>
      <c r="FG190" s="47"/>
      <c r="FH190" s="4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7"/>
      <c r="HV190" s="57"/>
      <c r="HW190" s="57"/>
      <c r="HX190" s="57"/>
      <c r="HY190" s="57"/>
      <c r="HZ190" s="57"/>
      <c r="IA190" s="57"/>
      <c r="IB190" s="57"/>
      <c r="IC190" s="57"/>
      <c r="ID190" s="57"/>
      <c r="IE190" s="57"/>
      <c r="IF190" s="57"/>
      <c r="IG190" s="57"/>
      <c r="IH190" s="57"/>
      <c r="II190" s="57"/>
      <c r="IJ190" s="57"/>
      <c r="IK190" s="57"/>
      <c r="IL190" s="57"/>
      <c r="IM190" s="57"/>
      <c r="IN190" s="57"/>
      <c r="IO190" s="57"/>
      <c r="IP190" s="57"/>
      <c r="IQ190" s="57"/>
      <c r="IR190" s="57"/>
      <c r="IS190" s="57"/>
      <c r="IT190" s="57"/>
      <c r="IU190" s="57"/>
      <c r="IV190" s="57"/>
    </row>
    <row r="191" spans="1:256" s="58" customFormat="1" ht="12.75">
      <c r="A191" s="47" t="s">
        <v>316</v>
      </c>
      <c r="B191" s="47" t="s">
        <v>316</v>
      </c>
      <c r="C191" s="39" t="s">
        <v>152</v>
      </c>
      <c r="D191" s="39">
        <v>5041200028</v>
      </c>
      <c r="E191" s="39">
        <v>533200028</v>
      </c>
      <c r="F191" s="26" t="s">
        <v>153</v>
      </c>
      <c r="G191" s="10" t="s">
        <v>318</v>
      </c>
      <c r="H191" s="10"/>
      <c r="I191" s="10" t="s">
        <v>166</v>
      </c>
      <c r="J191" s="10" t="s">
        <v>172</v>
      </c>
      <c r="K191" s="61"/>
      <c r="L191" s="75"/>
      <c r="M191" s="83"/>
      <c r="N191" s="62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7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50"/>
      <c r="BD191" s="50"/>
      <c r="BE191" s="50"/>
      <c r="BF191" s="50"/>
      <c r="BG191" s="54"/>
      <c r="BH191" s="54"/>
      <c r="BI191" s="54"/>
      <c r="BJ191" s="54"/>
      <c r="BK191" s="54"/>
      <c r="BL191" s="54"/>
      <c r="BM191" s="54"/>
      <c r="BN191" s="62"/>
      <c r="BO191" s="62"/>
      <c r="BP191" s="62"/>
      <c r="BQ191" s="62"/>
      <c r="BR191" s="62"/>
      <c r="BS191" s="62"/>
      <c r="BT191" s="62"/>
      <c r="BU191" s="62"/>
      <c r="BV191" s="62"/>
      <c r="BW191" s="78"/>
      <c r="BX191" s="78"/>
      <c r="BY191" s="78"/>
      <c r="BZ191" s="78"/>
      <c r="CA191" s="78"/>
      <c r="CB191" s="78"/>
      <c r="CC191" s="78"/>
      <c r="CD191" s="78"/>
      <c r="CE191" s="78"/>
      <c r="CF191" s="54"/>
      <c r="CG191" s="54"/>
      <c r="CH191" s="54">
        <v>114</v>
      </c>
      <c r="CI191" s="54">
        <v>110</v>
      </c>
      <c r="CJ191" s="54">
        <v>210</v>
      </c>
      <c r="CK191" s="54">
        <f>251+40</f>
        <v>291</v>
      </c>
      <c r="CL191" s="54">
        <f>285+25</f>
        <v>310</v>
      </c>
      <c r="CM191" s="54">
        <f>326+23</f>
        <v>349</v>
      </c>
      <c r="CN191" s="54">
        <f>300+0</f>
        <v>300</v>
      </c>
      <c r="CO191" s="54">
        <f>302+31</f>
        <v>333</v>
      </c>
      <c r="CP191" s="54">
        <v>292</v>
      </c>
      <c r="CQ191" s="54">
        <v>235</v>
      </c>
      <c r="CR191" s="55"/>
      <c r="CS191" s="55"/>
      <c r="CT191" s="55"/>
      <c r="CU191" s="55"/>
      <c r="CV191" s="55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120" t="s">
        <v>211</v>
      </c>
      <c r="DZ191" s="120" t="s">
        <v>211</v>
      </c>
      <c r="EA191" s="140" t="s">
        <v>211</v>
      </c>
      <c r="EB191" s="140" t="s">
        <v>211</v>
      </c>
      <c r="EC191" s="120" t="s">
        <v>211</v>
      </c>
      <c r="ED191" s="120" t="s">
        <v>211</v>
      </c>
      <c r="EE191" s="140" t="s">
        <v>211</v>
      </c>
      <c r="EF191" s="140" t="s">
        <v>211</v>
      </c>
      <c r="EG191" s="120" t="s">
        <v>211</v>
      </c>
      <c r="EH191" s="120" t="s">
        <v>211</v>
      </c>
      <c r="EI191" s="140" t="s">
        <v>211</v>
      </c>
      <c r="EJ191" s="140" t="s">
        <v>211</v>
      </c>
      <c r="EK191" s="120" t="s">
        <v>211</v>
      </c>
      <c r="EL191" s="120" t="s">
        <v>211</v>
      </c>
      <c r="EM191" s="140" t="s">
        <v>211</v>
      </c>
      <c r="EN191" s="140" t="s">
        <v>211</v>
      </c>
      <c r="EO191" s="120" t="s">
        <v>211</v>
      </c>
      <c r="EP191" s="120" t="s">
        <v>211</v>
      </c>
      <c r="EQ191" s="140" t="s">
        <v>211</v>
      </c>
      <c r="ER191" s="140" t="s">
        <v>211</v>
      </c>
      <c r="ES191" s="120" t="s">
        <v>211</v>
      </c>
      <c r="ET191" s="120" t="s">
        <v>211</v>
      </c>
      <c r="EU191" s="140" t="s">
        <v>211</v>
      </c>
      <c r="EV191" s="140" t="s">
        <v>211</v>
      </c>
      <c r="EW191" s="120"/>
      <c r="EX191" s="120"/>
      <c r="EY191" s="47"/>
      <c r="EZ191" s="47"/>
      <c r="FA191" s="120"/>
      <c r="FB191" s="120"/>
      <c r="FC191" s="47"/>
      <c r="FD191" s="47"/>
      <c r="FE191" s="47"/>
      <c r="FF191" s="47"/>
      <c r="FG191" s="47"/>
      <c r="FH191" s="4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7"/>
      <c r="HV191" s="57"/>
      <c r="HW191" s="57"/>
      <c r="HX191" s="57"/>
      <c r="HY191" s="57"/>
      <c r="HZ191" s="57"/>
      <c r="IA191" s="57"/>
      <c r="IB191" s="57"/>
      <c r="IC191" s="57"/>
      <c r="ID191" s="57"/>
      <c r="IE191" s="57"/>
      <c r="IF191" s="57"/>
      <c r="IG191" s="57"/>
      <c r="IH191" s="57"/>
      <c r="II191" s="57"/>
      <c r="IJ191" s="57"/>
      <c r="IK191" s="57"/>
      <c r="IL191" s="57"/>
      <c r="IM191" s="57"/>
      <c r="IN191" s="57"/>
      <c r="IO191" s="57"/>
      <c r="IP191" s="57"/>
      <c r="IQ191" s="57"/>
      <c r="IR191" s="57"/>
      <c r="IS191" s="57"/>
      <c r="IT191" s="57"/>
      <c r="IU191" s="57"/>
      <c r="IV191" s="57"/>
    </row>
    <row r="192" spans="1:256" s="58" customFormat="1" ht="12.75">
      <c r="A192" s="47" t="s">
        <v>316</v>
      </c>
      <c r="B192" s="47" t="s">
        <v>316</v>
      </c>
      <c r="C192" s="39" t="s">
        <v>152</v>
      </c>
      <c r="D192" s="39">
        <v>5011400009</v>
      </c>
      <c r="E192" s="39">
        <v>533501023</v>
      </c>
      <c r="F192" s="26" t="s">
        <v>234</v>
      </c>
      <c r="G192" s="10" t="s">
        <v>318</v>
      </c>
      <c r="H192" s="10"/>
      <c r="I192" s="10" t="s">
        <v>166</v>
      </c>
      <c r="J192" s="10" t="s">
        <v>172</v>
      </c>
      <c r="K192" s="61"/>
      <c r="L192" s="75"/>
      <c r="M192" s="83"/>
      <c r="N192" s="62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7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50"/>
      <c r="BD192" s="50"/>
      <c r="BE192" s="50"/>
      <c r="BF192" s="50"/>
      <c r="BG192" s="54"/>
      <c r="BH192" s="54"/>
      <c r="BI192" s="54"/>
      <c r="BJ192" s="54"/>
      <c r="BK192" s="54"/>
      <c r="BL192" s="54"/>
      <c r="BM192" s="54"/>
      <c r="BN192" s="62"/>
      <c r="BO192" s="62"/>
      <c r="BP192" s="62"/>
      <c r="BQ192" s="62"/>
      <c r="BR192" s="62"/>
      <c r="BS192" s="62"/>
      <c r="BT192" s="62"/>
      <c r="BU192" s="62"/>
      <c r="BV192" s="62"/>
      <c r="BW192" s="78"/>
      <c r="BX192" s="78"/>
      <c r="BY192" s="78"/>
      <c r="BZ192" s="78"/>
      <c r="CA192" s="78"/>
      <c r="CB192" s="78"/>
      <c r="CC192" s="78"/>
      <c r="CD192" s="78"/>
      <c r="CE192" s="78"/>
      <c r="CF192" s="54"/>
      <c r="CG192" s="54"/>
      <c r="CH192" s="54"/>
      <c r="CI192" s="54"/>
      <c r="CJ192" s="54"/>
      <c r="CK192" s="54"/>
      <c r="CL192" s="54">
        <v>20</v>
      </c>
      <c r="CM192" s="54">
        <f>48+0</f>
        <v>48</v>
      </c>
      <c r="CN192" s="54">
        <f>54+20</f>
        <v>74</v>
      </c>
      <c r="CO192" s="54">
        <v>73</v>
      </c>
      <c r="CP192" s="54">
        <v>89</v>
      </c>
      <c r="CQ192" s="54">
        <v>62</v>
      </c>
      <c r="CR192" s="55"/>
      <c r="CS192" s="55"/>
      <c r="CT192" s="55"/>
      <c r="CU192" s="55"/>
      <c r="CV192" s="55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120" t="s">
        <v>211</v>
      </c>
      <c r="DZ192" s="120" t="s">
        <v>211</v>
      </c>
      <c r="EA192" s="140" t="s">
        <v>211</v>
      </c>
      <c r="EB192" s="140" t="s">
        <v>211</v>
      </c>
      <c r="EC192" s="120" t="s">
        <v>211</v>
      </c>
      <c r="ED192" s="120" t="s">
        <v>211</v>
      </c>
      <c r="EE192" s="140" t="s">
        <v>211</v>
      </c>
      <c r="EF192" s="140" t="s">
        <v>211</v>
      </c>
      <c r="EG192" s="120" t="s">
        <v>211</v>
      </c>
      <c r="EH192" s="120" t="s">
        <v>211</v>
      </c>
      <c r="EI192" s="140" t="s">
        <v>211</v>
      </c>
      <c r="EJ192" s="140" t="s">
        <v>211</v>
      </c>
      <c r="EK192" s="120" t="s">
        <v>211</v>
      </c>
      <c r="EL192" s="120" t="s">
        <v>211</v>
      </c>
      <c r="EM192" s="120" t="s">
        <v>211</v>
      </c>
      <c r="EN192" s="120" t="s">
        <v>211</v>
      </c>
      <c r="EO192" s="120" t="s">
        <v>211</v>
      </c>
      <c r="EP192" s="120" t="s">
        <v>211</v>
      </c>
      <c r="EQ192" s="140" t="s">
        <v>211</v>
      </c>
      <c r="ER192" s="140" t="s">
        <v>211</v>
      </c>
      <c r="ES192" s="120" t="s">
        <v>211</v>
      </c>
      <c r="ET192" s="120" t="s">
        <v>211</v>
      </c>
      <c r="EU192" s="140" t="s">
        <v>211</v>
      </c>
      <c r="EV192" s="140" t="s">
        <v>211</v>
      </c>
      <c r="EW192" s="120"/>
      <c r="EX192" s="120"/>
      <c r="EY192" s="47"/>
      <c r="EZ192" s="47"/>
      <c r="FA192" s="120"/>
      <c r="FB192" s="120"/>
      <c r="FC192" s="47"/>
      <c r="FD192" s="47"/>
      <c r="FE192" s="47"/>
      <c r="FF192" s="47"/>
      <c r="FG192" s="47"/>
      <c r="FH192" s="4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  <c r="IU192" s="57"/>
      <c r="IV192" s="57"/>
    </row>
    <row r="193" spans="1:256" s="58" customFormat="1" ht="12.75">
      <c r="A193" s="47" t="s">
        <v>316</v>
      </c>
      <c r="B193" s="47" t="s">
        <v>316</v>
      </c>
      <c r="C193" s="39" t="s">
        <v>152</v>
      </c>
      <c r="D193" s="39" t="s">
        <v>293</v>
      </c>
      <c r="E193" s="39" t="s">
        <v>257</v>
      </c>
      <c r="F193" s="10" t="s">
        <v>25</v>
      </c>
      <c r="G193" s="9" t="s">
        <v>323</v>
      </c>
      <c r="H193" s="10" t="s">
        <v>61</v>
      </c>
      <c r="I193" s="10" t="s">
        <v>162</v>
      </c>
      <c r="J193" s="10" t="s">
        <v>174</v>
      </c>
      <c r="K193" s="61"/>
      <c r="L193" s="75"/>
      <c r="M193" s="62"/>
      <c r="N193" s="62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7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50"/>
      <c r="BD193" s="50"/>
      <c r="BE193" s="50"/>
      <c r="BF193" s="50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78"/>
      <c r="BX193" s="78"/>
      <c r="BY193" s="78"/>
      <c r="BZ193" s="78"/>
      <c r="CA193" s="78"/>
      <c r="CB193" s="78"/>
      <c r="CC193" s="78"/>
      <c r="CD193" s="78"/>
      <c r="CE193" s="78"/>
      <c r="CF193" s="54"/>
      <c r="CG193" s="54"/>
      <c r="CH193" s="54">
        <v>151</v>
      </c>
      <c r="CI193" s="54">
        <v>45</v>
      </c>
      <c r="CJ193" s="54"/>
      <c r="CK193" s="54">
        <f>26+0</f>
        <v>26</v>
      </c>
      <c r="CL193" s="54">
        <f>24+13</f>
        <v>37</v>
      </c>
      <c r="CM193" s="54">
        <f>51+0</f>
        <v>51</v>
      </c>
      <c r="CN193" s="54">
        <f>30+0</f>
        <v>30</v>
      </c>
      <c r="CO193" s="54">
        <v>6</v>
      </c>
      <c r="CP193" s="54">
        <v>1</v>
      </c>
      <c r="CQ193" s="54"/>
      <c r="CR193" s="55"/>
      <c r="CS193" s="55"/>
      <c r="CT193" s="55"/>
      <c r="CU193" s="55"/>
      <c r="CV193" s="55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120"/>
      <c r="EN193" s="120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  <c r="IT193" s="57"/>
      <c r="IU193" s="57"/>
      <c r="IV193" s="57"/>
    </row>
    <row r="194" spans="1:256" s="58" customFormat="1" ht="12.75">
      <c r="A194" s="47" t="s">
        <v>316</v>
      </c>
      <c r="B194" s="47" t="s">
        <v>316</v>
      </c>
      <c r="C194" s="39" t="s">
        <v>152</v>
      </c>
      <c r="D194" s="39">
        <v>5092100019</v>
      </c>
      <c r="E194" s="39">
        <v>571200028</v>
      </c>
      <c r="F194" s="26" t="s">
        <v>273</v>
      </c>
      <c r="G194" s="10" t="s">
        <v>318</v>
      </c>
      <c r="H194" s="10"/>
      <c r="I194" s="10"/>
      <c r="J194" s="10"/>
      <c r="K194" s="61"/>
      <c r="L194" s="9"/>
      <c r="M194" s="62"/>
      <c r="N194" s="61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50"/>
      <c r="AI194" s="50"/>
      <c r="AJ194" s="50"/>
      <c r="AK194" s="43"/>
      <c r="AL194" s="50"/>
      <c r="AM194" s="50"/>
      <c r="AN194" s="50"/>
      <c r="AO194" s="50"/>
      <c r="AP194" s="50"/>
      <c r="AQ194" s="76"/>
      <c r="AR194" s="76"/>
      <c r="AS194" s="76"/>
      <c r="AT194" s="76"/>
      <c r="AU194" s="76" t="s">
        <v>211</v>
      </c>
      <c r="AV194" s="76" t="s">
        <v>211</v>
      </c>
      <c r="AW194" s="76"/>
      <c r="AX194" s="76"/>
      <c r="AY194" s="76"/>
      <c r="AZ194" s="76"/>
      <c r="BA194" s="76"/>
      <c r="BB194" s="76"/>
      <c r="BC194" s="50"/>
      <c r="BD194" s="50"/>
      <c r="BE194" s="50"/>
      <c r="BF194" s="50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4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>
        <f>17+0</f>
        <v>17</v>
      </c>
      <c r="CO194" s="54"/>
      <c r="CP194" s="54"/>
      <c r="CQ194" s="54"/>
      <c r="CR194" s="55"/>
      <c r="CS194" s="55"/>
      <c r="CT194" s="55"/>
      <c r="CU194" s="55"/>
      <c r="CV194" s="55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120"/>
      <c r="EN194" s="120"/>
      <c r="EO194" s="120" t="s">
        <v>211</v>
      </c>
      <c r="EP194" s="120" t="s">
        <v>211</v>
      </c>
      <c r="EQ194" s="140" t="s">
        <v>211</v>
      </c>
      <c r="ER194" s="140" t="s">
        <v>211</v>
      </c>
      <c r="ES194" s="120" t="s">
        <v>211</v>
      </c>
      <c r="ET194" s="120" t="s">
        <v>211</v>
      </c>
      <c r="EU194" s="140" t="s">
        <v>211</v>
      </c>
      <c r="EV194" s="140" t="s">
        <v>211</v>
      </c>
      <c r="EW194" s="120"/>
      <c r="EX194" s="120"/>
      <c r="EY194" s="47"/>
      <c r="EZ194" s="47"/>
      <c r="FA194" s="120"/>
      <c r="FB194" s="120"/>
      <c r="FC194" s="47"/>
      <c r="FD194" s="47"/>
      <c r="FE194" s="47"/>
      <c r="FF194" s="47"/>
      <c r="FG194" s="47"/>
      <c r="FH194" s="4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  <c r="GY194" s="57"/>
      <c r="GZ194" s="57"/>
      <c r="HA194" s="57"/>
      <c r="HB194" s="57"/>
      <c r="HC194" s="57"/>
      <c r="HD194" s="57"/>
      <c r="HE194" s="57"/>
      <c r="HF194" s="57"/>
      <c r="HG194" s="57"/>
      <c r="HH194" s="57"/>
      <c r="HI194" s="57"/>
      <c r="HJ194" s="57"/>
      <c r="HK194" s="57"/>
      <c r="HL194" s="57"/>
      <c r="HM194" s="57"/>
      <c r="HN194" s="57"/>
      <c r="HO194" s="57"/>
      <c r="HP194" s="57"/>
      <c r="HQ194" s="57"/>
      <c r="HR194" s="57"/>
      <c r="HS194" s="57"/>
      <c r="HT194" s="57"/>
      <c r="HU194" s="57"/>
      <c r="HV194" s="57"/>
      <c r="HW194" s="57"/>
      <c r="HX194" s="57"/>
      <c r="HY194" s="57"/>
      <c r="HZ194" s="57"/>
      <c r="IA194" s="57"/>
      <c r="IB194" s="57"/>
      <c r="IC194" s="57"/>
      <c r="ID194" s="57"/>
      <c r="IE194" s="57"/>
      <c r="IF194" s="57"/>
      <c r="IG194" s="57"/>
      <c r="IH194" s="57"/>
      <c r="II194" s="57"/>
      <c r="IJ194" s="57"/>
      <c r="IK194" s="57"/>
      <c r="IL194" s="57"/>
      <c r="IM194" s="57"/>
      <c r="IN194" s="57"/>
      <c r="IO194" s="57"/>
      <c r="IP194" s="57"/>
      <c r="IQ194" s="57"/>
      <c r="IR194" s="57"/>
      <c r="IS194" s="57"/>
      <c r="IT194" s="57"/>
      <c r="IU194" s="57"/>
      <c r="IV194" s="57"/>
    </row>
    <row r="195" spans="1:256" s="58" customFormat="1" ht="12.75">
      <c r="A195" s="47" t="s">
        <v>316</v>
      </c>
      <c r="B195" s="47" t="s">
        <v>316</v>
      </c>
      <c r="C195" s="39" t="s">
        <v>152</v>
      </c>
      <c r="D195" s="39">
        <v>6011400002</v>
      </c>
      <c r="E195" s="39">
        <v>611400006</v>
      </c>
      <c r="F195" s="10" t="s">
        <v>131</v>
      </c>
      <c r="G195" s="10" t="s">
        <v>320</v>
      </c>
      <c r="H195" s="10"/>
      <c r="I195" s="10" t="s">
        <v>175</v>
      </c>
      <c r="J195" s="10" t="s">
        <v>172</v>
      </c>
      <c r="K195" s="61"/>
      <c r="L195" s="9"/>
      <c r="M195" s="62"/>
      <c r="N195" s="61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50"/>
      <c r="AI195" s="50"/>
      <c r="AJ195" s="50"/>
      <c r="AK195" s="43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44"/>
      <c r="CE195" s="54"/>
      <c r="CF195" s="54">
        <v>57</v>
      </c>
      <c r="CG195" s="54">
        <v>66</v>
      </c>
      <c r="CH195" s="54">
        <v>46</v>
      </c>
      <c r="CI195" s="54">
        <v>43</v>
      </c>
      <c r="CJ195" s="54">
        <f>53+21</f>
        <v>74</v>
      </c>
      <c r="CK195" s="54"/>
      <c r="CL195" s="54">
        <v>14</v>
      </c>
      <c r="CM195" s="54">
        <v>0</v>
      </c>
      <c r="CN195" s="54">
        <f>0+0</f>
        <v>0</v>
      </c>
      <c r="CO195" s="54"/>
      <c r="CP195" s="54"/>
      <c r="CQ195" s="54"/>
      <c r="CR195" s="55"/>
      <c r="CS195" s="55"/>
      <c r="CT195" s="55"/>
      <c r="CU195" s="55"/>
      <c r="CV195" s="55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120"/>
      <c r="EN195" s="120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7"/>
      <c r="HV195" s="57"/>
      <c r="HW195" s="57"/>
      <c r="HX195" s="57"/>
      <c r="HY195" s="57"/>
      <c r="HZ195" s="57"/>
      <c r="IA195" s="57"/>
      <c r="IB195" s="57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  <c r="IT195" s="57"/>
      <c r="IU195" s="57"/>
      <c r="IV195" s="57"/>
    </row>
    <row r="196" spans="1:256" s="58" customFormat="1" ht="12.75">
      <c r="A196" s="47" t="s">
        <v>316</v>
      </c>
      <c r="B196" s="47" t="s">
        <v>316</v>
      </c>
      <c r="C196" s="39" t="s">
        <v>152</v>
      </c>
      <c r="D196" s="39">
        <v>7042500026</v>
      </c>
      <c r="E196" s="39">
        <v>733501060</v>
      </c>
      <c r="F196" s="26" t="s">
        <v>190</v>
      </c>
      <c r="G196" s="47" t="s">
        <v>321</v>
      </c>
      <c r="H196" s="10"/>
      <c r="I196" s="10"/>
      <c r="J196" s="10"/>
      <c r="K196" s="61"/>
      <c r="L196" s="9"/>
      <c r="M196" s="62"/>
      <c r="N196" s="62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50"/>
      <c r="AI196" s="50"/>
      <c r="AJ196" s="50"/>
      <c r="AK196" s="43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44"/>
      <c r="CE196" s="54"/>
      <c r="CF196" s="54"/>
      <c r="CG196" s="54"/>
      <c r="CH196" s="54"/>
      <c r="CI196" s="54"/>
      <c r="CJ196" s="54">
        <f>10+10</f>
        <v>20</v>
      </c>
      <c r="CK196" s="54"/>
      <c r="CL196" s="54">
        <f>14+5</f>
        <v>19</v>
      </c>
      <c r="CM196" s="54">
        <f>24+0</f>
        <v>24</v>
      </c>
      <c r="CN196" s="54">
        <f>10+0</f>
        <v>10</v>
      </c>
      <c r="CO196" s="54">
        <v>11</v>
      </c>
      <c r="CP196" s="54">
        <v>14</v>
      </c>
      <c r="CQ196" s="54"/>
      <c r="CR196" s="54"/>
      <c r="CS196" s="54"/>
      <c r="CT196" s="55"/>
      <c r="CU196" s="55"/>
      <c r="CV196" s="55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120"/>
      <c r="EN196" s="120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  <c r="HE196" s="57"/>
      <c r="HF196" s="57"/>
      <c r="HG196" s="57"/>
      <c r="HH196" s="57"/>
      <c r="HI196" s="57"/>
      <c r="HJ196" s="57"/>
      <c r="HK196" s="57"/>
      <c r="HL196" s="57"/>
      <c r="HM196" s="57"/>
      <c r="HN196" s="57"/>
      <c r="HO196" s="57"/>
      <c r="HP196" s="57"/>
      <c r="HQ196" s="57"/>
      <c r="HR196" s="57"/>
      <c r="HS196" s="57"/>
      <c r="HT196" s="57"/>
      <c r="HU196" s="57"/>
      <c r="HV196" s="57"/>
      <c r="HW196" s="57"/>
      <c r="HX196" s="57"/>
      <c r="HY196" s="57"/>
      <c r="HZ196" s="57"/>
      <c r="IA196" s="57"/>
      <c r="IB196" s="57"/>
      <c r="IC196" s="57"/>
      <c r="ID196" s="57"/>
      <c r="IE196" s="57"/>
      <c r="IF196" s="57"/>
      <c r="IG196" s="57"/>
      <c r="IH196" s="57"/>
      <c r="II196" s="57"/>
      <c r="IJ196" s="57"/>
      <c r="IK196" s="57"/>
      <c r="IL196" s="57"/>
      <c r="IM196" s="57"/>
      <c r="IN196" s="57"/>
      <c r="IO196" s="57"/>
      <c r="IP196" s="57"/>
      <c r="IQ196" s="57"/>
      <c r="IR196" s="57"/>
      <c r="IS196" s="57"/>
      <c r="IT196" s="57"/>
      <c r="IU196" s="57"/>
      <c r="IV196" s="57"/>
    </row>
    <row r="197" spans="1:256" s="58" customFormat="1" ht="12.75">
      <c r="A197" s="47" t="s">
        <v>316</v>
      </c>
      <c r="B197" s="47" t="s">
        <v>316</v>
      </c>
      <c r="C197" s="39" t="s">
        <v>152</v>
      </c>
      <c r="D197" s="39">
        <v>7011400008</v>
      </c>
      <c r="E197" s="39">
        <v>711400013</v>
      </c>
      <c r="F197" s="26" t="s">
        <v>136</v>
      </c>
      <c r="G197" s="47" t="s">
        <v>321</v>
      </c>
      <c r="H197" s="10"/>
      <c r="I197" s="10" t="s">
        <v>175</v>
      </c>
      <c r="J197" s="10" t="s">
        <v>169</v>
      </c>
      <c r="K197" s="61"/>
      <c r="L197" s="9"/>
      <c r="M197" s="62"/>
      <c r="N197" s="62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50"/>
      <c r="AI197" s="50"/>
      <c r="AJ197" s="50"/>
      <c r="AK197" s="43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44"/>
      <c r="CE197" s="54"/>
      <c r="CF197" s="54">
        <v>60</v>
      </c>
      <c r="CG197" s="54">
        <v>73</v>
      </c>
      <c r="CH197" s="54">
        <v>113</v>
      </c>
      <c r="CI197" s="54">
        <f>98+41</f>
        <v>139</v>
      </c>
      <c r="CJ197" s="54">
        <f>124+34</f>
        <v>158</v>
      </c>
      <c r="CK197" s="54">
        <v>26</v>
      </c>
      <c r="CL197" s="54">
        <v>72</v>
      </c>
      <c r="CM197" s="54">
        <f>45+10</f>
        <v>55</v>
      </c>
      <c r="CN197" s="54">
        <f>36+9</f>
        <v>45</v>
      </c>
      <c r="CO197" s="54">
        <f>41+13</f>
        <v>54</v>
      </c>
      <c r="CP197" s="54">
        <v>77</v>
      </c>
      <c r="CQ197" s="54">
        <v>38</v>
      </c>
      <c r="CR197" s="54"/>
      <c r="CS197" s="54"/>
      <c r="CT197" s="55"/>
      <c r="CU197" s="55"/>
      <c r="CV197" s="55"/>
      <c r="CW197" s="64"/>
      <c r="CX197" s="64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47"/>
      <c r="EL197" s="47"/>
      <c r="EM197" s="120"/>
      <c r="EN197" s="12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  <c r="IS197" s="57"/>
      <c r="IT197" s="57"/>
      <c r="IU197" s="57"/>
      <c r="IV197" s="57"/>
    </row>
    <row r="198" spans="3:256" s="58" customFormat="1" ht="12.75">
      <c r="C198" s="73"/>
      <c r="D198" s="73"/>
      <c r="E198" s="73"/>
      <c r="F198" s="74"/>
      <c r="G198" s="74"/>
      <c r="H198" s="74"/>
      <c r="I198" s="74"/>
      <c r="J198" s="74"/>
      <c r="K198" s="22"/>
      <c r="O198" s="74"/>
      <c r="P198" s="74"/>
      <c r="AD198" s="20"/>
      <c r="AE198" s="20"/>
      <c r="AF198" s="20"/>
      <c r="AG198" s="20"/>
      <c r="AK198" s="25"/>
      <c r="BG198" s="57"/>
      <c r="BW198" s="57"/>
      <c r="BX198" s="40"/>
      <c r="BY198" s="40"/>
      <c r="BZ198" s="40"/>
      <c r="CA198" s="40"/>
      <c r="CB198" s="40"/>
      <c r="CC198" s="40"/>
      <c r="CD198" s="40"/>
      <c r="CE198" s="40"/>
      <c r="CF198" s="119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V198" s="31"/>
      <c r="DO198" s="31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V198" s="56"/>
      <c r="FE198" s="57"/>
      <c r="FF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  <c r="IT198" s="57"/>
      <c r="IU198" s="57"/>
      <c r="IV198" s="57"/>
    </row>
    <row r="199" spans="11:152" ht="12.75">
      <c r="K199" s="22"/>
      <c r="AD199" s="20"/>
      <c r="AE199" s="20"/>
      <c r="AF199" s="20"/>
      <c r="AG199" s="20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V199" s="5"/>
    </row>
    <row r="200" spans="11:152" ht="12.75">
      <c r="K200" s="22"/>
      <c r="AD200" s="20"/>
      <c r="AE200" s="20"/>
      <c r="AF200" s="20"/>
      <c r="AG200" s="2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CM200" s="40"/>
      <c r="CR200" s="11"/>
      <c r="CS200" s="11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M200" s="2"/>
      <c r="EN200" s="2"/>
      <c r="EV200" s="5"/>
    </row>
    <row r="201" spans="11:152" ht="12.75">
      <c r="K201" s="22"/>
      <c r="AD201" s="20"/>
      <c r="AE201" s="20"/>
      <c r="AF201" s="20"/>
      <c r="AG201" s="20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CR201" s="11"/>
      <c r="CS201" s="11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M201" s="2"/>
      <c r="EN201" s="2"/>
      <c r="EV201" s="5"/>
    </row>
    <row r="202" spans="11:152" ht="12.75">
      <c r="K202" s="22"/>
      <c r="AD202" s="20"/>
      <c r="AE202" s="20"/>
      <c r="AF202" s="20"/>
      <c r="AG202" s="20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CR202" s="11"/>
      <c r="CS202" s="11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M202" s="2"/>
      <c r="EN202" s="2"/>
      <c r="EV202" s="5"/>
    </row>
    <row r="203" spans="11:152" ht="12.75">
      <c r="K203" s="22"/>
      <c r="AD203" s="20"/>
      <c r="AE203" s="20"/>
      <c r="AF203" s="20"/>
      <c r="AG203" s="20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CJ203" s="2"/>
      <c r="CK203" s="2"/>
      <c r="CL203" s="2"/>
      <c r="CM203" s="2"/>
      <c r="CN203" s="2"/>
      <c r="CO203" s="2"/>
      <c r="CP203" s="2"/>
      <c r="CQ203" s="2"/>
      <c r="CR203" s="11"/>
      <c r="CS203" s="11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V203" s="5"/>
    </row>
    <row r="204" spans="11:152" ht="12.75">
      <c r="K204" s="22"/>
      <c r="AD204" s="20"/>
      <c r="AE204" s="20"/>
      <c r="AF204" s="20"/>
      <c r="AG204" s="20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CR204" s="11"/>
      <c r="CS204" s="11"/>
      <c r="DO204" s="30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V204" s="5"/>
    </row>
    <row r="205" spans="11:152" ht="12.75">
      <c r="K205" s="22"/>
      <c r="AD205" s="20"/>
      <c r="AE205" s="20"/>
      <c r="AF205" s="20"/>
      <c r="AG205" s="20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CR205" s="11"/>
      <c r="CS205" s="11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V205" s="5"/>
    </row>
    <row r="206" spans="11:152" ht="12.75">
      <c r="K206" s="22"/>
      <c r="AD206" s="20"/>
      <c r="AE206" s="20"/>
      <c r="AF206" s="20"/>
      <c r="AG206" s="20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CR206" s="11"/>
      <c r="CS206" s="11"/>
      <c r="DM206" s="2"/>
      <c r="DN206" s="35"/>
      <c r="DP206" s="2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V206" s="5"/>
    </row>
    <row r="207" spans="11:152" ht="12.75">
      <c r="K207" s="22"/>
      <c r="AD207" s="20"/>
      <c r="AE207" s="20"/>
      <c r="AF207" s="20"/>
      <c r="AG207" s="20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CR207" s="11"/>
      <c r="CS207" s="11"/>
      <c r="DM207" s="2"/>
      <c r="DN207" s="35"/>
      <c r="DP207" s="2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V207" s="5"/>
    </row>
    <row r="208" spans="11:152" ht="12.75">
      <c r="K208" s="22"/>
      <c r="AD208" s="20"/>
      <c r="AE208" s="20"/>
      <c r="AF208" s="20"/>
      <c r="AG208" s="20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CR208" s="11"/>
      <c r="CS208" s="11"/>
      <c r="DM208" s="2"/>
      <c r="DN208" s="35"/>
      <c r="DP208" s="2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V208" s="5"/>
    </row>
    <row r="209" spans="11:152" ht="12.75">
      <c r="K209" s="22"/>
      <c r="AD209" s="20"/>
      <c r="AE209" s="20"/>
      <c r="AF209" s="20"/>
      <c r="AG209" s="20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DM209" s="2"/>
      <c r="DN209" s="3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V209" s="5"/>
    </row>
    <row r="210" spans="11:152" ht="12.75">
      <c r="K210" s="22"/>
      <c r="AD210" s="20"/>
      <c r="AE210" s="20"/>
      <c r="AF210" s="20"/>
      <c r="AG210" s="2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DM210" s="2"/>
      <c r="DN210" s="3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V210" s="5"/>
    </row>
    <row r="211" spans="11:152" ht="12.75">
      <c r="K211" s="22"/>
      <c r="AD211" s="20"/>
      <c r="AE211" s="20"/>
      <c r="AF211" s="20"/>
      <c r="AG211" s="20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CM211" s="21"/>
      <c r="CN211" s="21"/>
      <c r="CO211" s="21"/>
      <c r="CP211" s="21"/>
      <c r="CQ211" s="21"/>
      <c r="DM211" s="2"/>
      <c r="DN211" s="35"/>
      <c r="DP211" s="2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V211" s="5"/>
    </row>
    <row r="212" spans="11:152" ht="12.75">
      <c r="K212" s="22"/>
      <c r="AD212" s="20"/>
      <c r="AE212" s="20"/>
      <c r="AF212" s="20"/>
      <c r="AG212" s="20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DM212" s="2"/>
      <c r="DN212" s="35"/>
      <c r="DP212" s="2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V212" s="5"/>
    </row>
    <row r="213" spans="11:152" ht="12.75">
      <c r="K213" s="22"/>
      <c r="AD213" s="20"/>
      <c r="AE213" s="20"/>
      <c r="AF213" s="20"/>
      <c r="AG213" s="20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DM213" s="2"/>
      <c r="DN213" s="35"/>
      <c r="DP213" s="2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V213" s="5"/>
    </row>
    <row r="214" spans="11:152" ht="15">
      <c r="K214" s="22"/>
      <c r="AD214" s="20"/>
      <c r="AE214" s="20"/>
      <c r="AF214" s="20"/>
      <c r="AG214" s="20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DM214" s="2"/>
      <c r="DN214" s="35"/>
      <c r="DO214" s="32"/>
      <c r="DP214" s="2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V214" s="5"/>
    </row>
    <row r="215" spans="11:152" ht="15">
      <c r="K215" s="22"/>
      <c r="AD215" s="20"/>
      <c r="AE215" s="20"/>
      <c r="AF215" s="20"/>
      <c r="AG215" s="20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DM215" s="2"/>
      <c r="DN215" s="35"/>
      <c r="DO215" s="32"/>
      <c r="DP215" s="2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V215" s="5"/>
    </row>
    <row r="216" spans="11:152" ht="15">
      <c r="K216" s="22"/>
      <c r="AD216" s="20"/>
      <c r="AE216" s="20"/>
      <c r="AF216" s="20"/>
      <c r="AG216" s="20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DM216" s="2"/>
      <c r="DN216" s="35"/>
      <c r="DO216" s="32"/>
      <c r="DP216" s="2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V216" s="5"/>
    </row>
    <row r="217" spans="11:152" ht="15">
      <c r="K217" s="22"/>
      <c r="AD217" s="20"/>
      <c r="AE217" s="20"/>
      <c r="AF217" s="20"/>
      <c r="AG217" s="20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DM217" s="2"/>
      <c r="DN217" s="35"/>
      <c r="DO217" s="32"/>
      <c r="DP217" s="2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V217" s="5"/>
    </row>
    <row r="218" spans="11:152" ht="15">
      <c r="K218" s="22"/>
      <c r="AD218" s="20"/>
      <c r="AE218" s="20"/>
      <c r="AF218" s="20"/>
      <c r="AG218" s="20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DM218" s="2"/>
      <c r="DN218" s="35"/>
      <c r="DO218" s="32"/>
      <c r="DP218" s="2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V218" s="5"/>
    </row>
    <row r="219" spans="11:152" ht="12.75">
      <c r="K219" s="22"/>
      <c r="AD219" s="20"/>
      <c r="AE219" s="20"/>
      <c r="AF219" s="20"/>
      <c r="AG219" s="20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DO219" s="2"/>
      <c r="DP219" s="2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V219" s="5"/>
    </row>
    <row r="220" spans="11:152" ht="12.75">
      <c r="K220" s="22"/>
      <c r="AD220" s="20"/>
      <c r="AE220" s="20"/>
      <c r="AF220" s="20"/>
      <c r="AG220" s="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DO220" s="2"/>
      <c r="DP220" s="2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V220" s="5"/>
    </row>
    <row r="221" spans="11:152" ht="12.75">
      <c r="K221" s="22"/>
      <c r="AD221" s="20"/>
      <c r="AE221" s="20"/>
      <c r="AF221" s="20"/>
      <c r="AG221" s="20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V221" s="5"/>
    </row>
    <row r="222" spans="11:152" ht="12.75">
      <c r="K222" s="22"/>
      <c r="AD222" s="20"/>
      <c r="AE222" s="20"/>
      <c r="AF222" s="20"/>
      <c r="AG222" s="20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V222" s="5"/>
    </row>
    <row r="223" spans="11:152" ht="12.75">
      <c r="K223" s="22"/>
      <c r="AD223" s="20"/>
      <c r="AE223" s="20"/>
      <c r="AF223" s="20"/>
      <c r="AG223" s="20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V223" s="5"/>
    </row>
    <row r="224" spans="11:152" ht="12.75">
      <c r="K224" s="22"/>
      <c r="AD224" s="20"/>
      <c r="AE224" s="20"/>
      <c r="AF224" s="20"/>
      <c r="AG224" s="20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V224" s="5"/>
    </row>
    <row r="225" spans="11:152" ht="12.75">
      <c r="K225" s="22"/>
      <c r="AD225" s="20"/>
      <c r="AE225" s="20"/>
      <c r="AF225" s="20"/>
      <c r="AG225" s="20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V225" s="5"/>
    </row>
    <row r="226" spans="11:152" ht="12.75">
      <c r="K226" s="22"/>
      <c r="AD226" s="20"/>
      <c r="AE226" s="20"/>
      <c r="AF226" s="20"/>
      <c r="AG226" s="20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DN226" s="3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V226" s="5"/>
    </row>
    <row r="227" spans="11:152" ht="12.75">
      <c r="K227" s="22"/>
      <c r="AD227" s="20"/>
      <c r="AE227" s="20"/>
      <c r="AF227" s="20"/>
      <c r="AG227" s="20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V227" s="5"/>
    </row>
    <row r="228" spans="11:152" ht="12.75">
      <c r="K228" s="22"/>
      <c r="AD228" s="20"/>
      <c r="AE228" s="20"/>
      <c r="AF228" s="20"/>
      <c r="AG228" s="20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V228" s="5"/>
    </row>
    <row r="229" spans="11:152" ht="12.75">
      <c r="K229" s="22"/>
      <c r="AD229" s="20"/>
      <c r="AE229" s="20"/>
      <c r="AF229" s="20"/>
      <c r="AG229" s="20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V229" s="5"/>
    </row>
    <row r="230" spans="11:152" ht="12.75">
      <c r="K230" s="22"/>
      <c r="AD230" s="20"/>
      <c r="AE230" s="20"/>
      <c r="AF230" s="20"/>
      <c r="AG230" s="2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V230" s="5"/>
    </row>
    <row r="231" spans="11:152" ht="12.75">
      <c r="K231" s="22"/>
      <c r="AD231" s="20"/>
      <c r="AE231" s="20"/>
      <c r="AF231" s="20"/>
      <c r="AG231" s="20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V231" s="5"/>
    </row>
    <row r="232" spans="11:152" ht="12.75">
      <c r="K232" s="22"/>
      <c r="AD232" s="20"/>
      <c r="AE232" s="20"/>
      <c r="AF232" s="20"/>
      <c r="AG232" s="20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V232" s="5"/>
    </row>
    <row r="233" spans="11:152" ht="12.75">
      <c r="K233" s="22"/>
      <c r="AD233" s="20"/>
      <c r="AE233" s="20"/>
      <c r="AF233" s="20"/>
      <c r="AG233" s="20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V233" s="5"/>
    </row>
    <row r="234" spans="11:152" ht="12.75">
      <c r="K234" s="22"/>
      <c r="AD234" s="20"/>
      <c r="AE234" s="20"/>
      <c r="AF234" s="20"/>
      <c r="AG234" s="20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V234" s="5"/>
    </row>
    <row r="235" spans="11:152" ht="12.75">
      <c r="K235" s="22"/>
      <c r="AD235" s="20"/>
      <c r="AE235" s="20"/>
      <c r="AF235" s="20"/>
      <c r="AG235" s="20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V235" s="5"/>
    </row>
    <row r="236" spans="11:152" ht="12.75">
      <c r="K236" s="22"/>
      <c r="AD236" s="20"/>
      <c r="AE236" s="20"/>
      <c r="AF236" s="20"/>
      <c r="AG236" s="20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V236" s="5"/>
    </row>
    <row r="237" spans="11:152" ht="12.75">
      <c r="K237" s="22"/>
      <c r="AD237" s="20"/>
      <c r="AE237" s="20"/>
      <c r="AF237" s="20"/>
      <c r="AG237" s="20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V237" s="5"/>
    </row>
    <row r="238" spans="11:152" ht="12.75">
      <c r="K238" s="22"/>
      <c r="AD238" s="20"/>
      <c r="AE238" s="20"/>
      <c r="AF238" s="20"/>
      <c r="AG238" s="20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V238" s="5"/>
    </row>
    <row r="239" spans="11:152" ht="12.75">
      <c r="K239" s="22"/>
      <c r="AD239" s="20"/>
      <c r="AE239" s="20"/>
      <c r="AF239" s="20"/>
      <c r="AG239" s="20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V239" s="5"/>
    </row>
    <row r="240" spans="11:152" ht="12.75">
      <c r="K240" s="22"/>
      <c r="AD240" s="20"/>
      <c r="AE240" s="20"/>
      <c r="AF240" s="20"/>
      <c r="AG240" s="2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V240" s="5"/>
    </row>
    <row r="241" spans="11:152" ht="12.75">
      <c r="K241" s="22"/>
      <c r="AD241" s="20"/>
      <c r="AE241" s="20"/>
      <c r="AF241" s="20"/>
      <c r="AG241" s="20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V241" s="5"/>
    </row>
    <row r="242" spans="11:152" ht="12.75">
      <c r="K242" s="22"/>
      <c r="AD242" s="20"/>
      <c r="AE242" s="20"/>
      <c r="AF242" s="20"/>
      <c r="AG242" s="20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V242" s="5"/>
    </row>
    <row r="243" spans="11:152" ht="12.75">
      <c r="K243" s="22"/>
      <c r="AD243" s="20"/>
      <c r="AE243" s="20"/>
      <c r="AF243" s="20"/>
      <c r="AG243" s="20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V243" s="5"/>
    </row>
    <row r="244" spans="11:152" ht="12.75">
      <c r="K244" s="22"/>
      <c r="AD244" s="20"/>
      <c r="AE244" s="20"/>
      <c r="AF244" s="20"/>
      <c r="AG244" s="20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V244" s="5"/>
    </row>
    <row r="245" spans="11:152" ht="12.75">
      <c r="K245" s="22"/>
      <c r="AD245" s="20"/>
      <c r="AE245" s="20"/>
      <c r="AF245" s="20"/>
      <c r="AG245" s="20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V245" s="5"/>
    </row>
    <row r="246" spans="11:152" ht="12.75">
      <c r="K246" s="22"/>
      <c r="AD246" s="20"/>
      <c r="AE246" s="20"/>
      <c r="AF246" s="20"/>
      <c r="AG246" s="20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V246" s="5"/>
    </row>
    <row r="247" spans="11:152" ht="12.75">
      <c r="K247" s="22"/>
      <c r="AD247" s="20"/>
      <c r="AE247" s="20"/>
      <c r="AF247" s="20"/>
      <c r="AG247" s="20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V247" s="5"/>
    </row>
    <row r="248" spans="11:152" ht="12.75">
      <c r="K248" s="22"/>
      <c r="AD248" s="20"/>
      <c r="AE248" s="20"/>
      <c r="AF248" s="20"/>
      <c r="AG248" s="20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V248" s="5"/>
    </row>
    <row r="249" spans="11:152" ht="12.75">
      <c r="K249" s="22"/>
      <c r="AD249" s="20"/>
      <c r="AE249" s="20"/>
      <c r="AF249" s="20"/>
      <c r="AG249" s="20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V249" s="5"/>
    </row>
    <row r="250" spans="11:152" ht="12.75">
      <c r="K250" s="22"/>
      <c r="AD250" s="20"/>
      <c r="AE250" s="20"/>
      <c r="AF250" s="20"/>
      <c r="AG250" s="2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V250" s="5"/>
    </row>
    <row r="251" spans="11:152" ht="12.75">
      <c r="K251" s="22"/>
      <c r="AD251" s="20"/>
      <c r="AE251" s="20"/>
      <c r="AF251" s="20"/>
      <c r="AG251" s="20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V251" s="5"/>
    </row>
    <row r="252" spans="11:152" ht="12.75">
      <c r="K252" s="22"/>
      <c r="AD252" s="20"/>
      <c r="AE252" s="20"/>
      <c r="AF252" s="20"/>
      <c r="AG252" s="20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V252" s="5"/>
    </row>
    <row r="253" spans="11:152" ht="12.75">
      <c r="K253" s="22"/>
      <c r="AD253" s="20"/>
      <c r="AE253" s="20"/>
      <c r="AF253" s="20"/>
      <c r="AG253" s="20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V253" s="5"/>
    </row>
    <row r="254" spans="11:152" ht="12.75">
      <c r="K254" s="22"/>
      <c r="AD254" s="20"/>
      <c r="AE254" s="20"/>
      <c r="AF254" s="20"/>
      <c r="AG254" s="20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V254" s="5"/>
    </row>
    <row r="255" spans="11:152" ht="12.75">
      <c r="K255" s="22"/>
      <c r="AD255" s="20"/>
      <c r="AE255" s="20"/>
      <c r="AF255" s="20"/>
      <c r="AG255" s="20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V255" s="5"/>
    </row>
    <row r="256" spans="11:152" ht="12.75">
      <c r="K256" s="22"/>
      <c r="AD256" s="20"/>
      <c r="AE256" s="20"/>
      <c r="AF256" s="20"/>
      <c r="AG256" s="20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V256" s="5"/>
    </row>
    <row r="257" spans="11:152" ht="12.75">
      <c r="K257" s="22"/>
      <c r="AD257" s="20"/>
      <c r="AE257" s="20"/>
      <c r="AF257" s="20"/>
      <c r="AG257" s="20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V257" s="5"/>
    </row>
    <row r="258" spans="11:152" ht="12.75">
      <c r="K258" s="22"/>
      <c r="AD258" s="20"/>
      <c r="AE258" s="20"/>
      <c r="AF258" s="20"/>
      <c r="AG258" s="20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V258" s="5"/>
    </row>
    <row r="259" spans="11:152" ht="12.75">
      <c r="K259" s="22"/>
      <c r="AD259" s="20"/>
      <c r="AE259" s="20"/>
      <c r="AF259" s="20"/>
      <c r="AG259" s="20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V259" s="5"/>
    </row>
    <row r="260" spans="11:152" ht="12.75">
      <c r="K260" s="22"/>
      <c r="AD260" s="20"/>
      <c r="AE260" s="20"/>
      <c r="AF260" s="20"/>
      <c r="AG260" s="2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V260" s="5"/>
    </row>
    <row r="261" spans="11:152" ht="12.75">
      <c r="K261" s="22"/>
      <c r="AD261" s="20"/>
      <c r="AE261" s="20"/>
      <c r="AF261" s="20"/>
      <c r="AG261" s="20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V261" s="5"/>
    </row>
    <row r="262" spans="11:152" ht="12.75">
      <c r="K262" s="22"/>
      <c r="AD262" s="20"/>
      <c r="AE262" s="20"/>
      <c r="AF262" s="20"/>
      <c r="AG262" s="20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V262" s="5"/>
    </row>
    <row r="263" spans="11:152" ht="12.75">
      <c r="K263" s="22"/>
      <c r="AD263" s="20"/>
      <c r="AE263" s="20"/>
      <c r="AF263" s="20"/>
      <c r="AG263" s="20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V263" s="5"/>
    </row>
    <row r="264" spans="11:152" ht="12.75">
      <c r="K264" s="22"/>
      <c r="AD264" s="20"/>
      <c r="AE264" s="20"/>
      <c r="AF264" s="20"/>
      <c r="AG264" s="20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V264" s="5"/>
    </row>
    <row r="265" spans="11:152" ht="12.75">
      <c r="K265" s="22"/>
      <c r="AD265" s="20"/>
      <c r="AE265" s="20"/>
      <c r="AF265" s="20"/>
      <c r="AG265" s="20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V265" s="5"/>
    </row>
    <row r="266" spans="11:152" ht="12.75">
      <c r="K266" s="22"/>
      <c r="AD266" s="20"/>
      <c r="AE266" s="20"/>
      <c r="AF266" s="20"/>
      <c r="AG266" s="20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V266" s="5"/>
    </row>
    <row r="267" spans="11:152" ht="12.75">
      <c r="K267" s="22"/>
      <c r="AD267" s="20"/>
      <c r="AE267" s="20"/>
      <c r="AF267" s="20"/>
      <c r="AG267" s="20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V267" s="5"/>
    </row>
    <row r="268" spans="11:152" ht="12.75">
      <c r="K268" s="22"/>
      <c r="AD268" s="20"/>
      <c r="AE268" s="20"/>
      <c r="AF268" s="20"/>
      <c r="AG268" s="20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V268" s="5"/>
    </row>
    <row r="269" spans="11:152" ht="12.75">
      <c r="K269" s="22"/>
      <c r="AD269" s="20"/>
      <c r="AE269" s="20"/>
      <c r="AF269" s="20"/>
      <c r="AG269" s="20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V269" s="5"/>
    </row>
    <row r="270" spans="11:152" ht="12.75">
      <c r="K270" s="22"/>
      <c r="AD270" s="20"/>
      <c r="AE270" s="20"/>
      <c r="AF270" s="20"/>
      <c r="AG270" s="2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V270" s="5"/>
    </row>
    <row r="271" spans="11:152" ht="12.75">
      <c r="K271" s="22"/>
      <c r="AD271" s="20"/>
      <c r="AE271" s="20"/>
      <c r="AF271" s="20"/>
      <c r="AG271" s="20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V271" s="5"/>
    </row>
    <row r="272" spans="11:152" ht="12.75">
      <c r="K272" s="22"/>
      <c r="AD272" s="20"/>
      <c r="AE272" s="20"/>
      <c r="AF272" s="20"/>
      <c r="AG272" s="20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V272" s="5"/>
    </row>
    <row r="273" spans="11:152" ht="12.75">
      <c r="K273" s="22"/>
      <c r="AD273" s="20"/>
      <c r="AE273" s="20"/>
      <c r="AF273" s="20"/>
      <c r="AG273" s="20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V273" s="5"/>
    </row>
    <row r="274" spans="11:152" ht="12.75">
      <c r="K274" s="22"/>
      <c r="AD274" s="20"/>
      <c r="AE274" s="20"/>
      <c r="AF274" s="20"/>
      <c r="AG274" s="20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V274" s="5"/>
    </row>
    <row r="275" spans="11:152" ht="12.75">
      <c r="K275" s="22"/>
      <c r="AD275" s="20"/>
      <c r="AE275" s="20"/>
      <c r="AF275" s="20"/>
      <c r="AG275" s="20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V275" s="5"/>
    </row>
    <row r="276" spans="11:152" ht="12.75">
      <c r="K276" s="22"/>
      <c r="AD276" s="20"/>
      <c r="AE276" s="20"/>
      <c r="AF276" s="20"/>
      <c r="AG276" s="20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V276" s="5"/>
    </row>
    <row r="277" spans="11:152" ht="12.75">
      <c r="K277" s="22"/>
      <c r="AD277" s="20"/>
      <c r="AE277" s="20"/>
      <c r="AF277" s="20"/>
      <c r="AG277" s="20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V277" s="5"/>
    </row>
    <row r="278" spans="11:152" ht="12.75">
      <c r="K278" s="22"/>
      <c r="AD278" s="20"/>
      <c r="AE278" s="20"/>
      <c r="AF278" s="20"/>
      <c r="AG278" s="20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V278" s="5"/>
    </row>
    <row r="279" spans="11:152" ht="12.75">
      <c r="K279" s="22"/>
      <c r="AD279" s="20"/>
      <c r="AE279" s="20"/>
      <c r="AF279" s="20"/>
      <c r="AG279" s="20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V279" s="5"/>
    </row>
    <row r="280" spans="11:152" ht="12.75">
      <c r="K280" s="22"/>
      <c r="AD280" s="20"/>
      <c r="AE280" s="20"/>
      <c r="AF280" s="20"/>
      <c r="AG280" s="2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V280" s="5"/>
    </row>
    <row r="281" spans="11:152" ht="12.75">
      <c r="K281" s="22"/>
      <c r="AD281" s="20"/>
      <c r="AE281" s="20"/>
      <c r="AF281" s="20"/>
      <c r="AG281" s="20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V281" s="5"/>
    </row>
    <row r="282" spans="11:152" ht="12.75">
      <c r="K282" s="22"/>
      <c r="AD282" s="20"/>
      <c r="AE282" s="20"/>
      <c r="AF282" s="20"/>
      <c r="AG282" s="20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V282" s="5"/>
    </row>
    <row r="283" spans="11:152" ht="12.75">
      <c r="K283" s="22"/>
      <c r="AD283" s="20"/>
      <c r="AE283" s="20"/>
      <c r="AF283" s="20"/>
      <c r="AG283" s="20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V283" s="5"/>
    </row>
    <row r="284" spans="11:152" ht="12.75">
      <c r="K284" s="22"/>
      <c r="AD284" s="20"/>
      <c r="AE284" s="20"/>
      <c r="AF284" s="20"/>
      <c r="AG284" s="20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V284" s="5"/>
    </row>
    <row r="285" spans="11:152" ht="12.75">
      <c r="K285" s="22"/>
      <c r="AD285" s="20"/>
      <c r="AE285" s="20"/>
      <c r="AF285" s="20"/>
      <c r="AG285" s="20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V285" s="5"/>
    </row>
    <row r="286" spans="11:152" ht="12.75">
      <c r="K286" s="22"/>
      <c r="AD286" s="20"/>
      <c r="AE286" s="20"/>
      <c r="AF286" s="20"/>
      <c r="AG286" s="20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V286" s="5"/>
    </row>
    <row r="287" spans="11:152" ht="12.75">
      <c r="K287" s="22"/>
      <c r="AD287" s="20"/>
      <c r="AE287" s="20"/>
      <c r="AF287" s="20"/>
      <c r="AG287" s="20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V287" s="5"/>
    </row>
    <row r="288" spans="11:152" ht="12.75">
      <c r="K288" s="22"/>
      <c r="AD288" s="20"/>
      <c r="AE288" s="20"/>
      <c r="AF288" s="20"/>
      <c r="AG288" s="20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V288" s="5"/>
    </row>
    <row r="289" spans="11:152" ht="12.75">
      <c r="K289" s="22"/>
      <c r="AD289" s="20"/>
      <c r="AE289" s="20"/>
      <c r="AF289" s="20"/>
      <c r="AG289" s="20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V289" s="5"/>
    </row>
    <row r="290" spans="11:152" ht="12.75">
      <c r="K290" s="22"/>
      <c r="AD290" s="20"/>
      <c r="AE290" s="20"/>
      <c r="AF290" s="20"/>
      <c r="AG290" s="2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V290" s="5"/>
    </row>
    <row r="291" spans="11:152" ht="12.75">
      <c r="K291" s="22"/>
      <c r="AD291" s="20"/>
      <c r="AE291" s="20"/>
      <c r="AF291" s="20"/>
      <c r="AG291" s="20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V291" s="5"/>
    </row>
    <row r="292" spans="11:152" ht="12.75">
      <c r="K292" s="22"/>
      <c r="AD292" s="20"/>
      <c r="AE292" s="20"/>
      <c r="AF292" s="20"/>
      <c r="AG292" s="20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V292" s="5"/>
    </row>
    <row r="293" spans="11:152" ht="12.75">
      <c r="K293" s="22"/>
      <c r="AD293" s="20"/>
      <c r="AE293" s="20"/>
      <c r="AF293" s="20"/>
      <c r="AG293" s="20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V293" s="5"/>
    </row>
    <row r="294" spans="11:152" ht="12.75">
      <c r="K294" s="22"/>
      <c r="AD294" s="20"/>
      <c r="AE294" s="20"/>
      <c r="AF294" s="20"/>
      <c r="AG294" s="20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V294" s="5"/>
    </row>
    <row r="295" spans="11:152" ht="12.75">
      <c r="K295" s="22"/>
      <c r="AD295" s="20"/>
      <c r="AE295" s="20"/>
      <c r="AF295" s="20"/>
      <c r="AG295" s="20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V295" s="5"/>
    </row>
    <row r="296" spans="11:152" ht="12.75">
      <c r="K296" s="22"/>
      <c r="AD296" s="20"/>
      <c r="AE296" s="20"/>
      <c r="AF296" s="20"/>
      <c r="AG296" s="20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V296" s="5"/>
    </row>
    <row r="297" spans="11:152" ht="12.75">
      <c r="K297" s="22"/>
      <c r="AD297" s="20"/>
      <c r="AE297" s="20"/>
      <c r="AF297" s="20"/>
      <c r="AG297" s="20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V297" s="5"/>
    </row>
    <row r="298" spans="11:152" ht="12.75">
      <c r="K298" s="22"/>
      <c r="AD298" s="20"/>
      <c r="AE298" s="20"/>
      <c r="AF298" s="20"/>
      <c r="AG298" s="20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V298" s="5"/>
    </row>
    <row r="299" spans="11:152" ht="12.75">
      <c r="K299" s="22"/>
      <c r="AD299" s="20"/>
      <c r="AE299" s="20"/>
      <c r="AF299" s="20"/>
      <c r="AG299" s="20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V299" s="5"/>
    </row>
    <row r="300" spans="11:152" ht="12.75">
      <c r="K300" s="22"/>
      <c r="AD300" s="20"/>
      <c r="AE300" s="20"/>
      <c r="AF300" s="20"/>
      <c r="AG300" s="2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V300" s="5"/>
    </row>
    <row r="301" spans="11:152" ht="12.75">
      <c r="K301" s="22"/>
      <c r="AD301" s="20"/>
      <c r="AE301" s="20"/>
      <c r="AF301" s="20"/>
      <c r="AG301" s="20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V301" s="5"/>
    </row>
    <row r="302" spans="11:152" ht="12.75">
      <c r="K302" s="22"/>
      <c r="AD302" s="20"/>
      <c r="AE302" s="20"/>
      <c r="AF302" s="20"/>
      <c r="AG302" s="20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V302" s="5"/>
    </row>
    <row r="303" spans="11:152" ht="12.75">
      <c r="K303" s="22"/>
      <c r="AD303" s="20"/>
      <c r="AE303" s="20"/>
      <c r="AF303" s="20"/>
      <c r="AG303" s="20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V303" s="5"/>
    </row>
    <row r="304" spans="11:152" ht="12.75">
      <c r="K304" s="22"/>
      <c r="AD304" s="20"/>
      <c r="AE304" s="20"/>
      <c r="AF304" s="20"/>
      <c r="AG304" s="20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V304" s="5"/>
    </row>
    <row r="305" spans="11:152" ht="12.75">
      <c r="K305" s="22"/>
      <c r="AD305" s="20"/>
      <c r="AE305" s="20"/>
      <c r="AF305" s="20"/>
      <c r="AG305" s="20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V305" s="5"/>
    </row>
    <row r="306" spans="11:152" ht="12.75">
      <c r="K306" s="22"/>
      <c r="AD306" s="20"/>
      <c r="AE306" s="20"/>
      <c r="AF306" s="20"/>
      <c r="AG306" s="20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V306" s="5"/>
    </row>
    <row r="307" spans="11:152" ht="12.75">
      <c r="K307" s="22"/>
      <c r="AD307" s="20"/>
      <c r="AE307" s="20"/>
      <c r="AF307" s="20"/>
      <c r="AG307" s="20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V307" s="5"/>
    </row>
    <row r="308" spans="11:152" ht="12.75">
      <c r="K308" s="22"/>
      <c r="AD308" s="20"/>
      <c r="AE308" s="20"/>
      <c r="AF308" s="20"/>
      <c r="AG308" s="20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V308" s="5"/>
    </row>
    <row r="309" spans="11:152" ht="12.75">
      <c r="K309" s="22"/>
      <c r="AD309" s="20"/>
      <c r="AE309" s="20"/>
      <c r="AF309" s="20"/>
      <c r="AG309" s="20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V309" s="5"/>
    </row>
    <row r="310" spans="11:152" ht="12.75">
      <c r="K310" s="22"/>
      <c r="AD310" s="20"/>
      <c r="AE310" s="20"/>
      <c r="AF310" s="20"/>
      <c r="AG310" s="2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V310" s="5"/>
    </row>
    <row r="311" spans="11:152" ht="12.75">
      <c r="K311" s="22"/>
      <c r="AD311" s="20"/>
      <c r="AE311" s="20"/>
      <c r="AF311" s="20"/>
      <c r="AG311" s="20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V311" s="5"/>
    </row>
    <row r="312" spans="11:152" ht="12.75">
      <c r="K312" s="22"/>
      <c r="AD312" s="20"/>
      <c r="AE312" s="20"/>
      <c r="AF312" s="20"/>
      <c r="AG312" s="20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V312" s="5"/>
    </row>
    <row r="313" spans="11:152" ht="12.75">
      <c r="K313" s="22"/>
      <c r="AD313" s="20"/>
      <c r="AE313" s="20"/>
      <c r="AF313" s="20"/>
      <c r="AG313" s="20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V313" s="5"/>
    </row>
    <row r="314" spans="11:152" ht="12.75">
      <c r="K314" s="22"/>
      <c r="AD314" s="20"/>
      <c r="AE314" s="20"/>
      <c r="AF314" s="20"/>
      <c r="AG314" s="20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V314" s="5"/>
    </row>
    <row r="315" spans="11:152" ht="12.75">
      <c r="K315" s="22"/>
      <c r="AD315" s="20"/>
      <c r="AE315" s="20"/>
      <c r="AF315" s="20"/>
      <c r="AG315" s="20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V315" s="5"/>
    </row>
    <row r="316" spans="11:152" ht="12.75">
      <c r="K316" s="22"/>
      <c r="AD316" s="20"/>
      <c r="AE316" s="20"/>
      <c r="AF316" s="20"/>
      <c r="AG316" s="20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V316" s="5"/>
    </row>
    <row r="317" spans="11:152" ht="12.75">
      <c r="K317" s="22"/>
      <c r="AD317" s="20"/>
      <c r="AE317" s="20"/>
      <c r="AF317" s="20"/>
      <c r="AG317" s="20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V317" s="5"/>
    </row>
    <row r="318" spans="11:152" ht="12.75">
      <c r="K318" s="22"/>
      <c r="AD318" s="20"/>
      <c r="AE318" s="20"/>
      <c r="AF318" s="20"/>
      <c r="AG318" s="20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V318" s="5"/>
    </row>
    <row r="319" spans="11:152" ht="12.75">
      <c r="K319" s="22"/>
      <c r="AD319" s="20"/>
      <c r="AE319" s="20"/>
      <c r="AF319" s="20"/>
      <c r="AG319" s="20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V319" s="5"/>
    </row>
    <row r="320" spans="11:152" ht="12.75">
      <c r="K320" s="22"/>
      <c r="AD320" s="20"/>
      <c r="AE320" s="20"/>
      <c r="AF320" s="20"/>
      <c r="AG320" s="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V320" s="5"/>
    </row>
    <row r="321" spans="11:152" ht="12.75">
      <c r="K321" s="22"/>
      <c r="AD321" s="20"/>
      <c r="AE321" s="20"/>
      <c r="AF321" s="20"/>
      <c r="AG321" s="20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V321" s="5"/>
    </row>
    <row r="322" spans="11:152" ht="12.75">
      <c r="K322" s="22"/>
      <c r="AD322" s="20"/>
      <c r="AE322" s="20"/>
      <c r="AF322" s="20"/>
      <c r="AG322" s="20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V322" s="5"/>
    </row>
    <row r="323" spans="11:152" ht="12.75">
      <c r="K323" s="22"/>
      <c r="AD323" s="20"/>
      <c r="AE323" s="20"/>
      <c r="AF323" s="20"/>
      <c r="AG323" s="20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V323" s="5"/>
    </row>
    <row r="324" spans="11:152" ht="12.75">
      <c r="K324" s="22"/>
      <c r="AD324" s="20"/>
      <c r="AE324" s="20"/>
      <c r="AF324" s="20"/>
      <c r="AG324" s="20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V324" s="5"/>
    </row>
    <row r="325" spans="11:152" ht="12.75">
      <c r="K325" s="22"/>
      <c r="AD325" s="20"/>
      <c r="AE325" s="20"/>
      <c r="AF325" s="20"/>
      <c r="AG325" s="20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V325" s="5"/>
    </row>
    <row r="326" spans="11:152" ht="12.75">
      <c r="K326" s="22"/>
      <c r="AD326" s="20"/>
      <c r="AE326" s="20"/>
      <c r="AF326" s="20"/>
      <c r="AG326" s="20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V326" s="5"/>
    </row>
    <row r="327" spans="11:152" ht="12.75">
      <c r="K327" s="22"/>
      <c r="AD327" s="20"/>
      <c r="AE327" s="20"/>
      <c r="AF327" s="20"/>
      <c r="AG327" s="20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V327" s="5"/>
    </row>
    <row r="328" spans="11:152" ht="12.75">
      <c r="K328" s="22"/>
      <c r="AD328" s="20"/>
      <c r="AE328" s="20"/>
      <c r="AF328" s="20"/>
      <c r="AG328" s="20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V328" s="5"/>
    </row>
    <row r="329" spans="11:152" ht="12.75">
      <c r="K329" s="22"/>
      <c r="AD329" s="20"/>
      <c r="AE329" s="20"/>
      <c r="AF329" s="20"/>
      <c r="AG329" s="20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V329" s="5"/>
    </row>
    <row r="330" spans="11:152" ht="12.75">
      <c r="K330" s="22"/>
      <c r="AD330" s="20"/>
      <c r="AE330" s="20"/>
      <c r="AF330" s="20"/>
      <c r="AG330" s="2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V330" s="5"/>
    </row>
    <row r="331" spans="11:152" ht="12.75">
      <c r="K331" s="22"/>
      <c r="AD331" s="20"/>
      <c r="AE331" s="20"/>
      <c r="AF331" s="20"/>
      <c r="AG331" s="20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V331" s="5"/>
    </row>
    <row r="332" spans="11:140" ht="12.75">
      <c r="K332" s="22"/>
      <c r="AD332" s="20"/>
      <c r="AE332" s="20"/>
      <c r="AF332" s="20"/>
      <c r="AG332" s="20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EI332" s="5"/>
      <c r="EJ332" s="5"/>
    </row>
    <row r="333" spans="11:140" ht="12.75">
      <c r="K333" s="22"/>
      <c r="AD333" s="20"/>
      <c r="AE333" s="20"/>
      <c r="AF333" s="20"/>
      <c r="AG333" s="20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EI333" s="5"/>
      <c r="EJ333" s="5"/>
    </row>
    <row r="334" spans="11:140" ht="12.75">
      <c r="K334" s="22"/>
      <c r="AD334" s="20"/>
      <c r="AE334" s="20"/>
      <c r="AF334" s="20"/>
      <c r="AG334" s="20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EI334" s="5"/>
      <c r="EJ334" s="5"/>
    </row>
    <row r="335" spans="11:140" ht="12.75">
      <c r="K335" s="22"/>
      <c r="AD335" s="20"/>
      <c r="AE335" s="20"/>
      <c r="AF335" s="20"/>
      <c r="AG335" s="20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EI335" s="5"/>
      <c r="EJ335" s="5"/>
    </row>
    <row r="336" spans="11:140" ht="12.75">
      <c r="K336" s="22"/>
      <c r="AD336" s="20"/>
      <c r="AE336" s="20"/>
      <c r="AF336" s="20"/>
      <c r="AG336" s="20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EI336" s="5"/>
      <c r="EJ336" s="5"/>
    </row>
    <row r="337" spans="11:140" ht="12.75">
      <c r="K337" s="22"/>
      <c r="AD337" s="20"/>
      <c r="AE337" s="20"/>
      <c r="AF337" s="20"/>
      <c r="AG337" s="20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EI337" s="5"/>
      <c r="EJ337" s="5"/>
    </row>
    <row r="338" spans="11:140" ht="12.75">
      <c r="K338" s="22"/>
      <c r="AD338" s="20"/>
      <c r="AE338" s="20"/>
      <c r="AF338" s="20"/>
      <c r="AG338" s="20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EI338" s="5"/>
      <c r="EJ338" s="5"/>
    </row>
    <row r="339" spans="11:140" ht="12.75">
      <c r="K339" s="22"/>
      <c r="AD339" s="20"/>
      <c r="AE339" s="20"/>
      <c r="AF339" s="20"/>
      <c r="AG339" s="20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EI339" s="5"/>
      <c r="EJ339" s="5"/>
    </row>
    <row r="340" spans="11:140" ht="12.75">
      <c r="K340" s="22"/>
      <c r="AD340" s="20"/>
      <c r="AE340" s="20"/>
      <c r="AF340" s="20"/>
      <c r="AG340" s="2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EI340" s="5"/>
      <c r="EJ340" s="5"/>
    </row>
    <row r="341" spans="11:140" ht="12.75">
      <c r="K341" s="22"/>
      <c r="AD341" s="20"/>
      <c r="AE341" s="20"/>
      <c r="AF341" s="20"/>
      <c r="AG341" s="20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EI341" s="5"/>
      <c r="EJ341" s="5"/>
    </row>
    <row r="342" spans="11:140" ht="12.75">
      <c r="K342" s="22"/>
      <c r="AD342" s="20"/>
      <c r="AE342" s="20"/>
      <c r="AF342" s="20"/>
      <c r="AG342" s="20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EI342" s="5"/>
      <c r="EJ342" s="5"/>
    </row>
    <row r="343" spans="11:140" ht="12.75">
      <c r="K343" s="22"/>
      <c r="AD343" s="20"/>
      <c r="AE343" s="20"/>
      <c r="AF343" s="20"/>
      <c r="AG343" s="20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EI343" s="5"/>
      <c r="EJ343" s="5"/>
    </row>
    <row r="344" spans="11:140" ht="12.75">
      <c r="K344" s="22"/>
      <c r="AD344" s="20"/>
      <c r="AE344" s="20"/>
      <c r="AF344" s="20"/>
      <c r="AG344" s="20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EI344" s="5"/>
      <c r="EJ344" s="5"/>
    </row>
    <row r="345" spans="11:140" ht="12.75">
      <c r="K345" s="22"/>
      <c r="AD345" s="20"/>
      <c r="AE345" s="20"/>
      <c r="AF345" s="20"/>
      <c r="AG345" s="20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EI345" s="5"/>
      <c r="EJ345" s="5"/>
    </row>
    <row r="346" spans="11:140" ht="12.75">
      <c r="K346" s="22"/>
      <c r="AD346" s="20"/>
      <c r="AE346" s="20"/>
      <c r="AF346" s="20"/>
      <c r="AG346" s="20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EI346" s="5"/>
      <c r="EJ346" s="5"/>
    </row>
    <row r="347" spans="11:140" ht="12.75">
      <c r="K347" s="22"/>
      <c r="AD347" s="20"/>
      <c r="AE347" s="20"/>
      <c r="AF347" s="20"/>
      <c r="AG347" s="20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EI347" s="5"/>
      <c r="EJ347" s="5"/>
    </row>
    <row r="348" spans="11:140" ht="12.75">
      <c r="K348" s="22"/>
      <c r="AD348" s="20"/>
      <c r="AE348" s="20"/>
      <c r="AF348" s="20"/>
      <c r="AG348" s="20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EI348" s="5"/>
      <c r="EJ348" s="5"/>
    </row>
    <row r="349" spans="11:140" ht="12.75">
      <c r="K349" s="22"/>
      <c r="AD349" s="20"/>
      <c r="AE349" s="20"/>
      <c r="AF349" s="20"/>
      <c r="AG349" s="20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EI349" s="5"/>
      <c r="EJ349" s="5"/>
    </row>
    <row r="350" spans="11:140" ht="12.75">
      <c r="K350" s="22"/>
      <c r="AD350" s="20"/>
      <c r="AE350" s="20"/>
      <c r="AF350" s="20"/>
      <c r="AG350" s="2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EI350" s="5"/>
      <c r="EJ350" s="5"/>
    </row>
    <row r="351" spans="11:140" ht="12.75">
      <c r="K351" s="22"/>
      <c r="AD351" s="20"/>
      <c r="AE351" s="20"/>
      <c r="AF351" s="20"/>
      <c r="AG351" s="20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EI351" s="5"/>
      <c r="EJ351" s="5"/>
    </row>
    <row r="352" spans="11:140" ht="12.75">
      <c r="K352" s="22"/>
      <c r="AD352" s="20"/>
      <c r="AE352" s="20"/>
      <c r="AF352" s="20"/>
      <c r="AG352" s="20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EI352" s="5"/>
      <c r="EJ352" s="5"/>
    </row>
    <row r="353" spans="11:140" ht="12.75">
      <c r="K353" s="22"/>
      <c r="AD353" s="20"/>
      <c r="AE353" s="20"/>
      <c r="AF353" s="20"/>
      <c r="AG353" s="20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EI353" s="5"/>
      <c r="EJ353" s="5"/>
    </row>
    <row r="354" spans="11:140" ht="12.75">
      <c r="K354" s="22"/>
      <c r="AD354" s="20"/>
      <c r="AE354" s="20"/>
      <c r="AF354" s="20"/>
      <c r="AG354" s="20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EI354" s="5"/>
      <c r="EJ354" s="5"/>
    </row>
    <row r="355" spans="11:140" ht="12.75">
      <c r="K355" s="22"/>
      <c r="AD355" s="20"/>
      <c r="AE355" s="20"/>
      <c r="AF355" s="20"/>
      <c r="AG355" s="20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EI355" s="5"/>
      <c r="EJ355" s="5"/>
    </row>
    <row r="356" spans="11:140" ht="12.75">
      <c r="K356" s="22"/>
      <c r="AD356" s="20"/>
      <c r="AE356" s="20"/>
      <c r="AF356" s="20"/>
      <c r="AG356" s="20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EI356" s="5"/>
      <c r="EJ356" s="5"/>
    </row>
    <row r="357" spans="11:140" ht="12.75">
      <c r="K357" s="22"/>
      <c r="AD357" s="20"/>
      <c r="AE357" s="20"/>
      <c r="AF357" s="20"/>
      <c r="AG357" s="20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EI357" s="5"/>
      <c r="EJ357" s="5"/>
    </row>
    <row r="358" spans="11:140" ht="12.75">
      <c r="K358" s="22"/>
      <c r="AD358" s="20"/>
      <c r="AE358" s="20"/>
      <c r="AF358" s="20"/>
      <c r="AG358" s="20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EI358" s="5"/>
      <c r="EJ358" s="5"/>
    </row>
    <row r="359" spans="11:140" ht="12.75">
      <c r="K359" s="22"/>
      <c r="AD359" s="20"/>
      <c r="AE359" s="20"/>
      <c r="AF359" s="20"/>
      <c r="AG359" s="20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EI359" s="5"/>
      <c r="EJ359" s="5"/>
    </row>
    <row r="360" spans="11:140" ht="12.75">
      <c r="K360" s="22"/>
      <c r="AD360" s="20"/>
      <c r="AE360" s="20"/>
      <c r="AF360" s="20"/>
      <c r="AG360" s="2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EI360" s="5"/>
      <c r="EJ360" s="5"/>
    </row>
    <row r="361" spans="11:140" ht="12.75">
      <c r="K361" s="22"/>
      <c r="AD361" s="20"/>
      <c r="AE361" s="20"/>
      <c r="AF361" s="20"/>
      <c r="AG361" s="20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EI361" s="5"/>
      <c r="EJ361" s="5"/>
    </row>
    <row r="362" spans="11:140" ht="12.75">
      <c r="K362" s="22"/>
      <c r="AD362" s="20"/>
      <c r="AE362" s="20"/>
      <c r="AF362" s="20"/>
      <c r="AG362" s="20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EI362" s="5"/>
      <c r="EJ362" s="5"/>
    </row>
    <row r="363" spans="11:140" ht="12.75">
      <c r="K363" s="22"/>
      <c r="AD363" s="20"/>
      <c r="AE363" s="20"/>
      <c r="AF363" s="20"/>
      <c r="AG363" s="20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EI363" s="5"/>
      <c r="EJ363" s="5"/>
    </row>
    <row r="364" spans="11:140" ht="12.75">
      <c r="K364" s="22"/>
      <c r="AD364" s="20"/>
      <c r="AE364" s="20"/>
      <c r="AF364" s="20"/>
      <c r="AG364" s="20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EI364" s="5"/>
      <c r="EJ364" s="5"/>
    </row>
    <row r="365" spans="11:140" ht="12.75">
      <c r="K365" s="22"/>
      <c r="AD365" s="20"/>
      <c r="AE365" s="20"/>
      <c r="AF365" s="20"/>
      <c r="AG365" s="20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EI365" s="5"/>
      <c r="EJ365" s="5"/>
    </row>
    <row r="366" spans="11:140" ht="12.75">
      <c r="K366" s="22"/>
      <c r="AD366" s="20"/>
      <c r="AE366" s="20"/>
      <c r="AF366" s="20"/>
      <c r="AG366" s="20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EI366" s="5"/>
      <c r="EJ366" s="5"/>
    </row>
    <row r="367" spans="11:140" ht="12.75">
      <c r="K367" s="22"/>
      <c r="AD367" s="20"/>
      <c r="AE367" s="20"/>
      <c r="AF367" s="20"/>
      <c r="AG367" s="20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EI367" s="5"/>
      <c r="EJ367" s="5"/>
    </row>
    <row r="368" spans="11:140" ht="12.75">
      <c r="K368" s="22"/>
      <c r="AD368" s="20"/>
      <c r="AE368" s="20"/>
      <c r="AF368" s="20"/>
      <c r="AG368" s="20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EI368" s="5"/>
      <c r="EJ368" s="5"/>
    </row>
    <row r="369" spans="11:140" ht="12.75">
      <c r="K369" s="22"/>
      <c r="AD369" s="20"/>
      <c r="AE369" s="20"/>
      <c r="AF369" s="20"/>
      <c r="AG369" s="20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EI369" s="5"/>
      <c r="EJ369" s="5"/>
    </row>
    <row r="370" spans="11:140" ht="12.75">
      <c r="K370" s="22"/>
      <c r="AD370" s="20"/>
      <c r="AE370" s="20"/>
      <c r="AF370" s="20"/>
      <c r="AG370" s="2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EI370" s="5"/>
      <c r="EJ370" s="5"/>
    </row>
    <row r="371" spans="11:140" ht="12.75">
      <c r="K371" s="22"/>
      <c r="AD371" s="20"/>
      <c r="AE371" s="20"/>
      <c r="AF371" s="20"/>
      <c r="AG371" s="20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EI371" s="5"/>
      <c r="EJ371" s="5"/>
    </row>
    <row r="372" spans="11:140" ht="12.75">
      <c r="K372" s="22"/>
      <c r="AD372" s="20"/>
      <c r="AE372" s="20"/>
      <c r="AF372" s="20"/>
      <c r="AG372" s="20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EI372" s="5"/>
      <c r="EJ372" s="5"/>
    </row>
    <row r="373" spans="11:140" ht="12.75">
      <c r="K373" s="22"/>
      <c r="AD373" s="20"/>
      <c r="AE373" s="20"/>
      <c r="AF373" s="20"/>
      <c r="AG373" s="20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EI373" s="5"/>
      <c r="EJ373" s="5"/>
    </row>
    <row r="374" spans="11:140" ht="12.75">
      <c r="K374" s="22"/>
      <c r="AD374" s="20"/>
      <c r="AE374" s="20"/>
      <c r="AF374" s="20"/>
      <c r="AG374" s="20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EI374" s="5"/>
      <c r="EJ374" s="5"/>
    </row>
    <row r="375" spans="11:140" ht="12.75">
      <c r="K375" s="22"/>
      <c r="AD375" s="20"/>
      <c r="AE375" s="20"/>
      <c r="AF375" s="20"/>
      <c r="AG375" s="20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EI375" s="5"/>
      <c r="EJ375" s="5"/>
    </row>
    <row r="376" spans="11:140" ht="12.75">
      <c r="K376" s="22"/>
      <c r="AD376" s="20"/>
      <c r="AE376" s="20"/>
      <c r="AF376" s="20"/>
      <c r="AG376" s="20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EI376" s="5"/>
      <c r="EJ376" s="5"/>
    </row>
    <row r="377" spans="11:140" ht="12.75">
      <c r="K377" s="22"/>
      <c r="AD377" s="20"/>
      <c r="AE377" s="20"/>
      <c r="AF377" s="20"/>
      <c r="AG377" s="20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EI377" s="5"/>
      <c r="EJ377" s="5"/>
    </row>
    <row r="378" spans="11:140" ht="12.75">
      <c r="K378" s="22"/>
      <c r="AD378" s="20"/>
      <c r="AE378" s="20"/>
      <c r="AF378" s="20"/>
      <c r="AG378" s="20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EI378" s="5"/>
      <c r="EJ378" s="5"/>
    </row>
    <row r="379" spans="11:140" ht="12.75">
      <c r="K379" s="22"/>
      <c r="AD379" s="20"/>
      <c r="AE379" s="20"/>
      <c r="AF379" s="20"/>
      <c r="AG379" s="20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EI379" s="5"/>
      <c r="EJ379" s="5"/>
    </row>
    <row r="380" spans="11:140" ht="12.75">
      <c r="K380" s="22"/>
      <c r="AD380" s="20"/>
      <c r="AE380" s="20"/>
      <c r="AF380" s="20"/>
      <c r="AG380" s="2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EI380" s="5"/>
      <c r="EJ380" s="5"/>
    </row>
    <row r="381" spans="11:140" ht="12.75">
      <c r="K381" s="22"/>
      <c r="AD381" s="20"/>
      <c r="AE381" s="20"/>
      <c r="AF381" s="20"/>
      <c r="AG381" s="20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EI381" s="5"/>
      <c r="EJ381" s="5"/>
    </row>
    <row r="382" spans="11:140" ht="12.75">
      <c r="K382" s="22"/>
      <c r="AD382" s="20"/>
      <c r="AE382" s="20"/>
      <c r="AF382" s="20"/>
      <c r="AG382" s="20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EI382" s="5"/>
      <c r="EJ382" s="5"/>
    </row>
    <row r="383" spans="11:140" ht="12.75">
      <c r="K383" s="22"/>
      <c r="AD383" s="20"/>
      <c r="AE383" s="20"/>
      <c r="AF383" s="20"/>
      <c r="AG383" s="20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EI383" s="5"/>
      <c r="EJ383" s="5"/>
    </row>
    <row r="384" spans="11:140" ht="12.75">
      <c r="K384" s="22"/>
      <c r="AD384" s="20"/>
      <c r="AE384" s="20"/>
      <c r="AF384" s="20"/>
      <c r="AG384" s="20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EI384" s="5"/>
      <c r="EJ384" s="5"/>
    </row>
    <row r="385" spans="11:140" ht="12.75">
      <c r="K385" s="22"/>
      <c r="AD385" s="20"/>
      <c r="AE385" s="20"/>
      <c r="AF385" s="20"/>
      <c r="AG385" s="20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EI385" s="5"/>
      <c r="EJ385" s="5"/>
    </row>
    <row r="386" spans="11:140" ht="12.75">
      <c r="K386" s="22"/>
      <c r="AD386" s="20"/>
      <c r="AE386" s="20"/>
      <c r="AF386" s="20"/>
      <c r="AG386" s="20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EI386" s="5"/>
      <c r="EJ386" s="5"/>
    </row>
    <row r="387" spans="11:140" ht="12.75">
      <c r="K387" s="22"/>
      <c r="AD387" s="20"/>
      <c r="AE387" s="20"/>
      <c r="AF387" s="20"/>
      <c r="AG387" s="20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EI387" s="5"/>
      <c r="EJ387" s="5"/>
    </row>
    <row r="388" spans="11:140" ht="12.75">
      <c r="K388" s="22"/>
      <c r="AD388" s="20"/>
      <c r="AE388" s="20"/>
      <c r="AF388" s="20"/>
      <c r="AG388" s="20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EI388" s="5"/>
      <c r="EJ388" s="5"/>
    </row>
    <row r="389" spans="11:140" ht="12.75">
      <c r="K389" s="22"/>
      <c r="AD389" s="20"/>
      <c r="AE389" s="20"/>
      <c r="AF389" s="20"/>
      <c r="AG389" s="20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EI389" s="5"/>
      <c r="EJ389" s="5"/>
    </row>
    <row r="390" spans="11:140" ht="12.75">
      <c r="K390" s="22"/>
      <c r="AD390" s="20"/>
      <c r="AE390" s="20"/>
      <c r="AF390" s="20"/>
      <c r="AG390" s="2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EI390" s="5"/>
      <c r="EJ390" s="5"/>
    </row>
    <row r="391" spans="11:140" ht="12.75">
      <c r="K391" s="22"/>
      <c r="AD391" s="20"/>
      <c r="AE391" s="20"/>
      <c r="AF391" s="20"/>
      <c r="AG391" s="20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EI391" s="5"/>
      <c r="EJ391" s="5"/>
    </row>
    <row r="392" spans="11:140" ht="12.75">
      <c r="K392" s="22"/>
      <c r="AD392" s="20"/>
      <c r="AE392" s="20"/>
      <c r="AF392" s="20"/>
      <c r="AG392" s="20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EI392" s="5"/>
      <c r="EJ392" s="5"/>
    </row>
    <row r="393" spans="11:140" ht="12.75">
      <c r="K393" s="22"/>
      <c r="AD393" s="20"/>
      <c r="AE393" s="20"/>
      <c r="AF393" s="20"/>
      <c r="AG393" s="20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EI393" s="5"/>
      <c r="EJ393" s="5"/>
    </row>
    <row r="394" spans="11:140" ht="12.75">
      <c r="K394" s="22"/>
      <c r="AD394" s="20"/>
      <c r="AE394" s="20"/>
      <c r="AF394" s="20"/>
      <c r="AG394" s="20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EI394" s="5"/>
      <c r="EJ394" s="5"/>
    </row>
    <row r="395" spans="11:140" ht="12.75">
      <c r="K395" s="22"/>
      <c r="AD395" s="20"/>
      <c r="AE395" s="20"/>
      <c r="AF395" s="20"/>
      <c r="AG395" s="20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EI395" s="5"/>
      <c r="EJ395" s="5"/>
    </row>
    <row r="396" spans="11:140" ht="12.75">
      <c r="K396" s="22"/>
      <c r="AD396" s="20"/>
      <c r="AE396" s="20"/>
      <c r="AF396" s="20"/>
      <c r="AG396" s="20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EI396" s="5"/>
      <c r="EJ396" s="5"/>
    </row>
    <row r="397" spans="11:140" ht="12.75">
      <c r="K397" s="22"/>
      <c r="AD397" s="20"/>
      <c r="AE397" s="20"/>
      <c r="AF397" s="20"/>
      <c r="AG397" s="20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EI397" s="5"/>
      <c r="EJ397" s="5"/>
    </row>
    <row r="398" spans="11:140" ht="12.75">
      <c r="K398" s="22"/>
      <c r="AD398" s="20"/>
      <c r="AE398" s="20"/>
      <c r="AF398" s="20"/>
      <c r="AG398" s="20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EI398" s="5"/>
      <c r="EJ398" s="5"/>
    </row>
    <row r="399" spans="11:140" ht="12.75">
      <c r="K399" s="22"/>
      <c r="AD399" s="20"/>
      <c r="AE399" s="20"/>
      <c r="AF399" s="20"/>
      <c r="AG399" s="20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EI399" s="5"/>
      <c r="EJ399" s="5"/>
    </row>
    <row r="400" spans="11:140" ht="12.75">
      <c r="K400" s="22"/>
      <c r="AD400" s="20"/>
      <c r="AE400" s="20"/>
      <c r="AF400" s="20"/>
      <c r="AG400" s="2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EI400" s="5"/>
      <c r="EJ400" s="5"/>
    </row>
    <row r="401" spans="11:140" ht="12.75">
      <c r="K401" s="22"/>
      <c r="AD401" s="20"/>
      <c r="AE401" s="20"/>
      <c r="AF401" s="20"/>
      <c r="AG401" s="20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EI401" s="5"/>
      <c r="EJ401" s="5"/>
    </row>
    <row r="402" spans="11:140" ht="12.75">
      <c r="K402" s="22"/>
      <c r="AD402" s="20"/>
      <c r="AE402" s="20"/>
      <c r="AF402" s="20"/>
      <c r="AG402" s="20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EI402" s="5"/>
      <c r="EJ402" s="5"/>
    </row>
    <row r="403" spans="11:140" ht="12.75">
      <c r="K403" s="22"/>
      <c r="AD403" s="20"/>
      <c r="AE403" s="20"/>
      <c r="AF403" s="20"/>
      <c r="AG403" s="20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EI403" s="5"/>
      <c r="EJ403" s="5"/>
    </row>
    <row r="404" spans="11:140" ht="12.75">
      <c r="K404" s="22"/>
      <c r="AD404" s="20"/>
      <c r="AE404" s="20"/>
      <c r="AF404" s="20"/>
      <c r="AG404" s="20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EI404" s="5"/>
      <c r="EJ404" s="5"/>
    </row>
    <row r="405" spans="11:140" ht="12.75">
      <c r="K405" s="22"/>
      <c r="AD405" s="20"/>
      <c r="AE405" s="20"/>
      <c r="AF405" s="20"/>
      <c r="AG405" s="20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EI405" s="5"/>
      <c r="EJ405" s="5"/>
    </row>
    <row r="406" spans="11:140" ht="12.75">
      <c r="K406" s="22"/>
      <c r="AD406" s="20"/>
      <c r="AE406" s="20"/>
      <c r="AF406" s="20"/>
      <c r="AG406" s="20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EI406" s="5"/>
      <c r="EJ406" s="5"/>
    </row>
    <row r="407" spans="11:140" ht="12.75">
      <c r="K407" s="22"/>
      <c r="AD407" s="20"/>
      <c r="AE407" s="20"/>
      <c r="AF407" s="20"/>
      <c r="AG407" s="20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EI407" s="5"/>
      <c r="EJ407" s="5"/>
    </row>
    <row r="408" spans="11:140" ht="12.75">
      <c r="K408" s="22"/>
      <c r="AD408" s="20"/>
      <c r="AE408" s="20"/>
      <c r="AF408" s="20"/>
      <c r="AG408" s="20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EI408" s="5"/>
      <c r="EJ408" s="5"/>
    </row>
    <row r="409" spans="60:140" ht="12.75"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EI409" s="5"/>
      <c r="EJ409" s="5"/>
    </row>
    <row r="410" spans="60:140" ht="12.75"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EI410" s="5"/>
      <c r="EJ410" s="5"/>
    </row>
    <row r="411" spans="60:140" ht="12.75"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EI411" s="5"/>
      <c r="EJ411" s="5"/>
    </row>
    <row r="412" spans="60:140" ht="12.75"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EI412" s="5"/>
      <c r="EJ412" s="5"/>
    </row>
    <row r="413" spans="60:140" ht="12.75"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EI413" s="5"/>
      <c r="EJ413" s="5"/>
    </row>
    <row r="414" spans="60:140" ht="12.75"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EI414" s="5"/>
      <c r="EJ414" s="5"/>
    </row>
    <row r="415" spans="60:140" ht="12.75"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EI415" s="5"/>
      <c r="EJ415" s="5"/>
    </row>
    <row r="416" spans="60:140" ht="12.75"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EI416" s="5"/>
      <c r="EJ416" s="5"/>
    </row>
    <row r="417" spans="60:140" ht="12.75"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EI417" s="5"/>
      <c r="EJ417" s="5"/>
    </row>
    <row r="418" spans="60:140" ht="12.75"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EI418" s="5"/>
      <c r="EJ418" s="5"/>
    </row>
    <row r="419" spans="60:140" ht="12.75"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EI419" s="5"/>
      <c r="EJ419" s="5"/>
    </row>
    <row r="420" spans="60:140" ht="12.75"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EI420" s="5"/>
      <c r="EJ420" s="5"/>
    </row>
    <row r="421" spans="60:140" ht="12.75"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EI421" s="5"/>
      <c r="EJ421" s="5"/>
    </row>
    <row r="422" spans="60:140" ht="12.75"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EI422" s="5"/>
      <c r="EJ422" s="5"/>
    </row>
    <row r="423" spans="60:140" ht="12.75"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EI423" s="5"/>
      <c r="EJ423" s="5"/>
    </row>
    <row r="424" spans="60:140" ht="12.75"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EI424" s="5"/>
      <c r="EJ424" s="5"/>
    </row>
    <row r="425" spans="60:140" ht="12.75"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EI425" s="5"/>
      <c r="EJ425" s="5"/>
    </row>
    <row r="426" spans="60:140" ht="12.75"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EI426" s="5"/>
      <c r="EJ426" s="5"/>
    </row>
    <row r="427" spans="60:140" ht="12.75"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EI427" s="5"/>
      <c r="EJ427" s="5"/>
    </row>
    <row r="428" spans="60:140" ht="12.75"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EI428" s="5"/>
      <c r="EJ428" s="5"/>
    </row>
    <row r="429" spans="60:140" ht="12.75"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EI429" s="5"/>
      <c r="EJ429" s="5"/>
    </row>
    <row r="430" spans="60:140" ht="12.75"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EI430" s="5"/>
      <c r="EJ430" s="5"/>
    </row>
    <row r="431" spans="60:140" ht="12.75"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EI431" s="5"/>
      <c r="EJ431" s="5"/>
    </row>
    <row r="432" spans="60:140" ht="12.75"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EI432" s="5"/>
      <c r="EJ432" s="5"/>
    </row>
    <row r="433" spans="60:140" ht="12.75"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EI433" s="5"/>
      <c r="EJ433" s="5"/>
    </row>
    <row r="434" spans="60:140" ht="12.75"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EI434" s="5"/>
      <c r="EJ434" s="5"/>
    </row>
    <row r="435" spans="60:140" ht="12.75"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EI435" s="5"/>
      <c r="EJ435" s="5"/>
    </row>
    <row r="436" spans="60:140" ht="12.75"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EI436" s="5"/>
      <c r="EJ436" s="5"/>
    </row>
    <row r="437" spans="60:140" ht="12.75"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EI437" s="5"/>
      <c r="EJ437" s="5"/>
    </row>
    <row r="438" spans="60:140" ht="12.75"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EI438" s="5"/>
      <c r="EJ438" s="5"/>
    </row>
    <row r="439" spans="60:140" ht="12.75"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EI439" s="5"/>
      <c r="EJ439" s="5"/>
    </row>
    <row r="440" spans="60:140" ht="12.75"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EI440" s="5"/>
      <c r="EJ440" s="5"/>
    </row>
    <row r="441" spans="60:140" ht="12.75"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EI441" s="5"/>
      <c r="EJ441" s="5"/>
    </row>
    <row r="442" spans="60:140" ht="12.75"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EI442" s="5"/>
      <c r="EJ442" s="5"/>
    </row>
    <row r="443" spans="60:140" ht="12.75"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EI443" s="5"/>
      <c r="EJ443" s="5"/>
    </row>
    <row r="444" spans="60:140" ht="12.75"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EI444" s="5"/>
      <c r="EJ444" s="5"/>
    </row>
    <row r="445" spans="60:140" ht="12.75"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EI445" s="5"/>
      <c r="EJ445" s="5"/>
    </row>
    <row r="446" spans="60:140" ht="12.75"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EI446" s="5"/>
      <c r="EJ446" s="5"/>
    </row>
    <row r="447" spans="60:140" ht="12.75"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EI447" s="5"/>
      <c r="EJ447" s="5"/>
    </row>
    <row r="448" spans="60:140" ht="12.75"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EI448" s="5"/>
      <c r="EJ448" s="5"/>
    </row>
    <row r="449" spans="60:140" ht="12.75"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EI449" s="5"/>
      <c r="EJ449" s="5"/>
    </row>
    <row r="450" spans="60:140" ht="12.75"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EI450" s="5"/>
      <c r="EJ450" s="5"/>
    </row>
    <row r="451" spans="60:140" ht="12.75"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EI451" s="5"/>
      <c r="EJ451" s="5"/>
    </row>
    <row r="452" spans="60:140" ht="12.75"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EI452" s="5"/>
      <c r="EJ452" s="5"/>
    </row>
    <row r="453" spans="60:140" ht="12.75"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EI453" s="5"/>
      <c r="EJ453" s="5"/>
    </row>
    <row r="454" spans="60:140" ht="12.75"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EI454" s="5"/>
      <c r="EJ454" s="5"/>
    </row>
    <row r="455" spans="60:140" ht="12.75"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EI455" s="5"/>
      <c r="EJ455" s="5"/>
    </row>
    <row r="456" spans="60:140" ht="12.75"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EI456" s="5"/>
      <c r="EJ456" s="5"/>
    </row>
    <row r="457" spans="60:140" ht="12.75"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EI457" s="5"/>
      <c r="EJ457" s="5"/>
    </row>
    <row r="458" spans="60:140" ht="12.75"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EI458" s="5"/>
      <c r="EJ458" s="5"/>
    </row>
    <row r="459" spans="60:140" ht="12.75"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EI459" s="5"/>
      <c r="EJ459" s="5"/>
    </row>
    <row r="460" spans="60:140" ht="12.75"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EI460" s="5"/>
      <c r="EJ460" s="5"/>
    </row>
    <row r="461" spans="60:140" ht="12.75"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EI461" s="5"/>
      <c r="EJ461" s="5"/>
    </row>
    <row r="462" spans="60:140" ht="12.75"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EI462" s="5"/>
      <c r="EJ462" s="5"/>
    </row>
    <row r="463" spans="60:140" ht="12.75"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EI463" s="5"/>
      <c r="EJ463" s="5"/>
    </row>
    <row r="464" spans="60:140" ht="12.75"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EI464" s="5"/>
      <c r="EJ464" s="5"/>
    </row>
    <row r="465" spans="60:140" ht="12.75"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EI465" s="5"/>
      <c r="EJ465" s="5"/>
    </row>
    <row r="466" spans="60:140" ht="12.75"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EI466" s="5"/>
      <c r="EJ466" s="5"/>
    </row>
    <row r="467" spans="60:140" ht="12.75"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EI467" s="5"/>
      <c r="EJ467" s="5"/>
    </row>
    <row r="468" spans="60:140" ht="12.75"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EI468" s="5"/>
      <c r="EJ468" s="5"/>
    </row>
    <row r="469" spans="60:140" ht="12.75"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EI469" s="5"/>
      <c r="EJ469" s="5"/>
    </row>
    <row r="470" spans="60:140" ht="12.75"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EI470" s="5"/>
      <c r="EJ470" s="5"/>
    </row>
    <row r="471" spans="60:140" ht="12.75"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EI471" s="5"/>
      <c r="EJ471" s="5"/>
    </row>
    <row r="472" spans="60:140" ht="12.75"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EI472" s="5"/>
      <c r="EJ472" s="5"/>
    </row>
    <row r="473" spans="60:140" ht="12.75"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EI473" s="5"/>
      <c r="EJ473" s="5"/>
    </row>
    <row r="474" spans="60:140" ht="12.75"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EI474" s="5"/>
      <c r="EJ474" s="5"/>
    </row>
    <row r="475" spans="60:140" ht="12.75"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EI475" s="5"/>
      <c r="EJ475" s="5"/>
    </row>
    <row r="476" spans="60:140" ht="12.75"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EI476" s="5"/>
      <c r="EJ476" s="5"/>
    </row>
    <row r="477" spans="60:140" ht="12.75"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EI477" s="5"/>
      <c r="EJ477" s="5"/>
    </row>
    <row r="478" spans="60:140" ht="12.75"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EI478" s="5"/>
      <c r="EJ478" s="5"/>
    </row>
    <row r="479" spans="60:140" ht="12.75"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EI479" s="5"/>
      <c r="EJ479" s="5"/>
    </row>
    <row r="480" spans="60:140" ht="12.75"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EI480" s="5"/>
      <c r="EJ480" s="5"/>
    </row>
    <row r="481" spans="60:140" ht="12.75"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EI481" s="5"/>
      <c r="EJ481" s="5"/>
    </row>
    <row r="482" spans="60:140" ht="12.75"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EI482" s="5"/>
      <c r="EJ482" s="5"/>
    </row>
    <row r="483" spans="60:74" ht="12.75"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</row>
    <row r="484" spans="60:74" ht="12.75"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</row>
    <row r="485" spans="60:74" ht="12.75"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</row>
    <row r="486" spans="60:74" ht="12.75"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</row>
    <row r="487" spans="60:74" ht="12.75"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</row>
    <row r="488" spans="60:74" ht="12.75"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</row>
    <row r="489" spans="60:74" ht="12.75"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</row>
    <row r="490" spans="60:74" ht="12.75"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</row>
    <row r="491" spans="60:74" ht="12.75"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</row>
    <row r="492" spans="60:74" ht="12.75"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</row>
    <row r="493" spans="60:74" ht="12.75"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</row>
    <row r="494" spans="60:74" ht="12.75"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</row>
    <row r="495" spans="60:74" ht="12.75"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</row>
    <row r="496" spans="60:74" ht="12.75"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</row>
    <row r="497" spans="60:74" ht="12.75"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</row>
    <row r="498" spans="60:74" ht="12.75"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</row>
    <row r="499" spans="60:74" ht="12.75"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</row>
    <row r="500" spans="60:74" ht="12.75"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</row>
    <row r="501" spans="60:74" ht="12.75"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</row>
    <row r="502" spans="60:74" ht="12.75"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</row>
    <row r="503" spans="60:74" ht="12.75"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</row>
    <row r="504" spans="60:74" ht="12.75"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</row>
    <row r="505" spans="60:74" ht="12.75"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</row>
    <row r="506" spans="60:74" ht="12.75"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</row>
    <row r="507" spans="60:74" ht="12.75"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</row>
    <row r="508" spans="60:74" ht="12.75"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</row>
    <row r="509" spans="60:74" ht="12.75"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</row>
    <row r="510" spans="60:74" ht="12.75"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</row>
    <row r="511" spans="60:74" ht="12.75"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</row>
    <row r="512" spans="60:74" ht="12.75"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</row>
    <row r="513" spans="60:74" ht="12.75"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</row>
    <row r="514" spans="60:74" ht="12.75"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</row>
    <row r="515" spans="60:74" ht="12.75"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</row>
    <row r="516" spans="60:74" ht="12.75"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</row>
    <row r="517" spans="60:74" ht="12.75"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</row>
    <row r="518" spans="60:74" ht="12.75"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</row>
    <row r="519" spans="60:74" ht="12.75"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</row>
    <row r="520" spans="60:74" ht="12.75"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</row>
    <row r="521" spans="60:74" ht="12.75"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</row>
    <row r="522" spans="60:74" ht="12.75"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</row>
    <row r="523" spans="60:74" ht="12.75"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</row>
    <row r="524" spans="60:74" ht="12.75"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</row>
    <row r="525" spans="60:74" ht="12.75"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</row>
    <row r="526" spans="60:74" ht="12.75"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</row>
    <row r="527" spans="60:74" ht="12.75"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</row>
    <row r="528" spans="60:74" ht="12.75"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</row>
    <row r="529" spans="60:74" ht="12.75"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</row>
    <row r="530" spans="60:74" ht="12.75"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</row>
    <row r="531" spans="60:74" ht="12.75"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</row>
    <row r="532" spans="60:74" ht="12.75"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</row>
    <row r="533" spans="60:74" ht="12.75"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</row>
    <row r="534" spans="60:74" ht="12.75"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</row>
    <row r="535" spans="60:74" ht="12.75"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</row>
    <row r="536" spans="60:74" ht="12.75"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</row>
    <row r="537" spans="60:74" ht="12.75"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</row>
    <row r="538" spans="60:74" ht="12.75"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</row>
    <row r="539" spans="60:74" ht="12.75"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</row>
    <row r="540" spans="60:74" ht="12.75"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</row>
    <row r="541" spans="60:74" ht="12.75"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</row>
    <row r="542" spans="60:74" ht="12.75"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</row>
    <row r="543" spans="60:74" ht="12.75"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</row>
    <row r="544" spans="60:74" ht="12.75"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</row>
    <row r="545" spans="60:74" ht="12.75"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</row>
    <row r="546" spans="60:74" ht="12.75"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</row>
    <row r="547" spans="60:74" ht="12.75"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</row>
    <row r="548" spans="60:74" ht="12.75"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</row>
    <row r="549" spans="60:74" ht="12.75"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</row>
    <row r="550" spans="60:74" ht="12.75"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</row>
    <row r="551" spans="60:74" ht="12.75"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</row>
    <row r="552" spans="60:74" ht="12.75"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</row>
    <row r="553" spans="60:74" ht="12.75"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</row>
    <row r="554" spans="60:74" ht="12.75"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</row>
    <row r="555" spans="60:74" ht="12.75"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</row>
    <row r="556" spans="60:74" ht="12.75"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</row>
    <row r="557" spans="60:74" ht="12.75"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</row>
    <row r="558" spans="60:74" ht="12.75"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</row>
    <row r="559" spans="60:74" ht="12.75"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</row>
    <row r="560" spans="60:74" ht="12.75"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</row>
    <row r="561" spans="60:74" ht="12.75"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</row>
    <row r="562" spans="60:74" ht="12.75"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</row>
    <row r="563" spans="60:74" ht="12.75"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</row>
    <row r="564" spans="60:74" ht="12.75"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</row>
    <row r="565" spans="60:74" ht="12.75"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</row>
    <row r="566" spans="60:74" ht="12.75"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</row>
    <row r="567" spans="60:74" ht="12.75"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</row>
    <row r="568" spans="60:74" ht="12.75"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</row>
    <row r="569" spans="60:74" ht="12.75"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</row>
    <row r="570" spans="60:74" ht="12.75"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</row>
    <row r="571" spans="60:74" ht="12.75"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</row>
    <row r="572" spans="60:74" ht="12.75"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</row>
    <row r="573" spans="60:74" ht="12.75"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</row>
    <row r="574" spans="60:74" ht="12.75"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</row>
    <row r="575" spans="60:74" ht="12.75"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</row>
    <row r="576" spans="60:74" ht="12.75"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</row>
    <row r="577" spans="60:74" ht="12.75"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</row>
    <row r="578" spans="60:74" ht="12.75"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</row>
    <row r="579" spans="60:74" ht="12.75"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</row>
    <row r="580" spans="60:74" ht="12.75"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</row>
    <row r="581" spans="60:74" ht="12.75"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</row>
    <row r="582" spans="60:74" ht="12.75"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</row>
    <row r="583" spans="60:74" ht="12.75"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</row>
    <row r="584" spans="60:74" ht="12.75"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</row>
    <row r="585" spans="60:74" ht="12.75"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</row>
    <row r="586" spans="60:74" ht="12.75"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</row>
    <row r="587" spans="60:74" ht="12.75"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</row>
    <row r="588" spans="60:74" ht="12.75"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</row>
    <row r="589" spans="60:74" ht="12.75"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</row>
    <row r="590" spans="60:74" ht="12.75"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</row>
    <row r="591" spans="60:74" ht="12.75"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</row>
    <row r="592" spans="60:74" ht="12.75"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</row>
    <row r="593" spans="60:74" ht="12.75"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</row>
    <row r="594" spans="60:74" ht="12.75"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</row>
    <row r="595" spans="60:74" ht="12.75"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</row>
    <row r="596" spans="60:74" ht="12.75"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</row>
    <row r="597" spans="60:74" ht="12.75"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</row>
    <row r="598" spans="60:74" ht="12.75"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</row>
    <row r="599" spans="60:74" ht="12.75"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</row>
    <row r="600" spans="60:74" ht="12.75"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</row>
    <row r="601" spans="60:74" ht="12.75"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</row>
    <row r="602" spans="60:74" ht="12.75"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</row>
    <row r="603" spans="60:74" ht="12.75"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</row>
    <row r="604" spans="60:74" ht="12.75"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</row>
    <row r="605" spans="60:74" ht="12.75"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</row>
    <row r="606" spans="60:74" ht="12.75"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</row>
    <row r="607" spans="60:74" ht="12.75"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</row>
    <row r="608" spans="60:74" ht="12.75"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</row>
    <row r="609" spans="60:74" ht="12.75"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</row>
    <row r="610" spans="60:74" ht="12.75"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</row>
    <row r="611" spans="60:74" ht="12.75"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</row>
    <row r="612" spans="60:74" ht="12.75"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</row>
    <row r="613" spans="60:74" ht="12.75"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</row>
    <row r="614" spans="60:74" ht="12.75"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</row>
    <row r="615" spans="60:74" ht="12.75"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</row>
    <row r="616" spans="60:74" ht="12.75"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</row>
    <row r="617" spans="60:74" ht="12.75"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</row>
    <row r="618" spans="60:74" ht="12.75"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</row>
    <row r="619" spans="60:74" ht="12.75"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</row>
    <row r="620" spans="60:74" ht="12.75"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</row>
    <row r="621" spans="60:74" ht="12.75"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</row>
    <row r="622" spans="60:74" ht="12.75"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</row>
    <row r="623" spans="60:74" ht="12.75"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</row>
    <row r="624" spans="60:74" ht="12.75"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</row>
    <row r="625" spans="60:74" ht="12.75"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</row>
    <row r="626" spans="60:74" ht="12.75"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</row>
    <row r="627" spans="60:74" ht="12.75"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</row>
    <row r="628" spans="60:74" ht="12.75"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</row>
    <row r="629" spans="60:74" ht="12.75"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</row>
    <row r="630" spans="60:74" ht="12.75"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</row>
    <row r="631" spans="60:74" ht="12.75"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</row>
    <row r="632" spans="60:74" ht="12.75"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</row>
    <row r="633" spans="60:74" ht="12.75"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</row>
    <row r="634" spans="60:74" ht="12.75"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</row>
    <row r="635" spans="60:74" ht="12.75"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</row>
    <row r="636" spans="60:74" ht="12.75"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</row>
    <row r="637" spans="60:74" ht="12.75"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</row>
    <row r="638" spans="60:74" ht="12.75"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</row>
    <row r="639" spans="60:74" ht="12.75"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</row>
    <row r="640" spans="60:74" ht="12.75"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</row>
    <row r="641" spans="60:74" ht="12.75"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</row>
    <row r="642" spans="60:74" ht="12.75"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</row>
    <row r="643" spans="60:74" ht="12.75"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</row>
    <row r="644" spans="60:74" ht="12.75"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</row>
    <row r="645" spans="60:74" ht="12.75"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</row>
    <row r="646" spans="60:74" ht="12.75"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</row>
    <row r="647" spans="60:74" ht="12.75"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</row>
    <row r="648" spans="60:74" ht="12.75"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</row>
    <row r="649" spans="60:74" ht="12.75"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</row>
    <row r="650" spans="60:74" ht="12.75"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</row>
    <row r="651" spans="60:74" ht="12.75"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</row>
    <row r="652" spans="60:74" ht="12.75"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</row>
    <row r="653" spans="60:74" ht="12.75"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</row>
    <row r="654" spans="60:74" ht="12.75"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</row>
    <row r="655" spans="60:74" ht="12.75"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</row>
    <row r="656" spans="60:74" ht="12.75"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</row>
    <row r="657" spans="60:74" ht="12.75"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</row>
    <row r="658" spans="60:74" ht="12.75"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</row>
    <row r="659" spans="60:74" ht="12.75"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</row>
    <row r="660" spans="60:74" ht="12.75"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</row>
    <row r="661" spans="60:74" ht="12.75"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</row>
    <row r="662" spans="60:74" ht="12.75"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</row>
    <row r="663" spans="60:74" ht="12.75"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</row>
    <row r="664" spans="60:74" ht="12.75"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</row>
    <row r="665" spans="60:74" ht="12.75"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</row>
    <row r="666" spans="60:74" ht="12.75"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</row>
    <row r="667" spans="60:74" ht="12.75"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</row>
    <row r="668" spans="60:74" ht="12.75"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</row>
    <row r="669" spans="60:74" ht="12.75"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</row>
    <row r="670" spans="60:74" ht="12.75"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</row>
    <row r="671" spans="60:74" ht="12.75"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</row>
    <row r="672" spans="60:74" ht="12.75"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</row>
    <row r="673" spans="60:74" ht="12.75"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</row>
    <row r="674" spans="60:74" ht="12.75"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</row>
    <row r="675" spans="60:74" ht="12.75"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</row>
    <row r="676" spans="60:74" ht="12.75"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</row>
    <row r="677" spans="60:74" ht="12.75"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</row>
    <row r="678" spans="60:74" ht="12.75"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</row>
    <row r="679" spans="60:74" ht="12.75"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</row>
    <row r="680" spans="60:74" ht="12.75"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</row>
    <row r="681" spans="60:74" ht="12.75"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</row>
    <row r="682" spans="60:74" ht="12.75"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</row>
    <row r="683" spans="60:74" ht="12.75"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</row>
    <row r="684" spans="60:74" ht="12.75"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</row>
    <row r="685" spans="60:74" ht="12.75"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</row>
    <row r="686" spans="60:74" ht="12.75"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</row>
    <row r="687" spans="60:74" ht="12.75"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</row>
    <row r="688" spans="60:74" ht="12.75"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</row>
    <row r="689" spans="60:74" ht="12.75"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</row>
    <row r="690" spans="60:74" ht="12.75"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</row>
    <row r="691" spans="60:74" ht="12.75"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</row>
    <row r="692" spans="60:74" ht="12.75"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</row>
    <row r="693" spans="60:74" ht="12.75"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</row>
    <row r="694" spans="60:74" ht="12.75"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</row>
    <row r="695" spans="60:74" ht="12.75"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</row>
    <row r="696" spans="60:74" ht="12.75"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</row>
    <row r="697" spans="60:74" ht="12.75"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</row>
    <row r="698" spans="60:74" ht="12.75"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</row>
    <row r="699" spans="60:74" ht="12.75"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</row>
    <row r="700" spans="60:74" ht="12.75"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</row>
    <row r="701" spans="60:74" ht="12.75"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</row>
    <row r="702" spans="60:74" ht="12.75"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</row>
    <row r="703" spans="60:74" ht="12.75"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</row>
    <row r="704" spans="60:74" ht="12.75"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</row>
    <row r="705" spans="60:74" ht="12.75"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</row>
    <row r="706" spans="60:74" ht="12.75"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</row>
    <row r="707" spans="60:74" ht="12.75"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</row>
    <row r="708" spans="60:74" ht="12.75"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</row>
    <row r="709" spans="60:74" ht="12.75"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</row>
    <row r="710" spans="60:74" ht="12.75"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</row>
    <row r="711" spans="60:74" ht="12.75"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</row>
    <row r="712" spans="60:74" ht="12.75"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</row>
    <row r="713" spans="60:74" ht="12.75"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</row>
    <row r="714" spans="60:74" ht="12.75"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</row>
    <row r="715" spans="60:74" ht="12.75"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</row>
    <row r="716" spans="60:74" ht="12.75"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</row>
    <row r="717" spans="60:74" ht="12.75"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</row>
    <row r="718" spans="60:74" ht="12.75"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</row>
    <row r="719" spans="60:74" ht="12.75"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</row>
    <row r="720" spans="60:74" ht="12.75"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</row>
    <row r="721" spans="60:74" ht="12.75"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</row>
    <row r="722" spans="60:74" ht="12.75"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</row>
    <row r="723" spans="60:74" ht="12.75"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</row>
    <row r="724" spans="60:74" ht="12.75"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</row>
    <row r="725" spans="60:74" ht="12.75"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</row>
    <row r="726" spans="60:74" ht="12.75"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</row>
    <row r="727" spans="60:74" ht="12.75"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</row>
    <row r="728" spans="60:74" ht="12.75"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</row>
    <row r="729" spans="60:74" ht="12.75"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</row>
    <row r="730" spans="60:74" ht="12.75"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</row>
    <row r="731" spans="60:74" ht="12.75"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</row>
    <row r="732" spans="60:74" ht="12.75"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</row>
    <row r="733" spans="60:74" ht="12.75"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</row>
    <row r="734" spans="60:74" ht="12.75"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</row>
    <row r="735" spans="60:74" ht="12.75"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</row>
    <row r="736" spans="60:74" ht="12.75"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</row>
    <row r="737" spans="60:74" ht="12.75"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</row>
    <row r="738" spans="60:74" ht="12.75"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</row>
    <row r="739" spans="60:74" ht="12.75"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</row>
    <row r="740" spans="60:74" ht="12.75"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</row>
    <row r="741" spans="60:74" ht="12.75"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</row>
    <row r="742" spans="60:74" ht="12.75"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</row>
    <row r="743" spans="60:74" ht="12.75"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</row>
    <row r="744" spans="60:74" ht="12.75"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</row>
    <row r="745" spans="60:74" ht="12.75"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</row>
    <row r="746" spans="60:74" ht="12.75"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</row>
    <row r="747" spans="60:74" ht="12.75"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</row>
    <row r="748" spans="60:74" ht="12.75"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</row>
    <row r="749" spans="60:74" ht="12.75"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</row>
    <row r="750" spans="60:74" ht="12.75"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</row>
    <row r="751" spans="60:74" ht="12.75"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</row>
    <row r="752" spans="60:74" ht="12.75"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</row>
    <row r="753" spans="60:74" ht="12.75"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</row>
    <row r="754" spans="60:74" ht="12.75"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</row>
    <row r="755" spans="60:74" ht="12.75"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</row>
    <row r="756" spans="60:74" ht="12.75"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</row>
    <row r="757" spans="60:74" ht="12.75"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</row>
    <row r="758" spans="60:74" ht="12.75"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</row>
    <row r="759" spans="60:74" ht="12.75"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</row>
    <row r="760" spans="60:74" ht="12.75"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</row>
    <row r="761" spans="60:74" ht="12.75"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</row>
    <row r="762" spans="60:74" ht="12.75"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</row>
    <row r="763" spans="60:74" ht="12.75"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</row>
    <row r="764" spans="60:74" ht="12.75"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</row>
    <row r="765" spans="60:74" ht="12.75"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</row>
    <row r="766" spans="60:74" ht="12.75"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</row>
    <row r="767" spans="60:74" ht="12.75"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</row>
    <row r="768" spans="60:74" ht="12.75"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</row>
    <row r="769" spans="60:74" ht="12.75"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</row>
    <row r="770" spans="60:74" ht="12.75"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</row>
    <row r="771" spans="60:74" ht="12.75"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</row>
    <row r="772" spans="60:74" ht="12.75"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</row>
    <row r="773" spans="60:74" ht="12.75"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</row>
    <row r="774" spans="60:74" ht="12.75"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</row>
    <row r="775" spans="60:74" ht="12.75"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</row>
    <row r="776" spans="60:74" ht="12.75"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</row>
    <row r="777" spans="60:74" ht="12.75"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</row>
    <row r="778" spans="60:74" ht="12.75"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</row>
    <row r="779" spans="60:74" ht="12.75"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</row>
    <row r="780" spans="60:74" ht="12.75"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</row>
    <row r="781" spans="60:74" ht="12.75"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</row>
    <row r="782" spans="60:74" ht="12.75"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</row>
    <row r="783" spans="60:74" ht="12.75"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</row>
    <row r="784" spans="60:74" ht="12.75"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</row>
    <row r="785" spans="60:74" ht="12.75"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</row>
    <row r="786" spans="60:74" ht="12.75"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</row>
    <row r="787" spans="60:74" ht="12.75"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</row>
    <row r="788" spans="60:74" ht="12.75"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</row>
    <row r="789" spans="60:74" ht="12.75"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</row>
    <row r="790" spans="60:74" ht="12.75"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</row>
    <row r="791" spans="60:74" ht="12.75"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</row>
    <row r="792" spans="60:74" ht="12.75"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</row>
    <row r="793" spans="60:74" ht="12.75"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</row>
    <row r="794" spans="60:74" ht="12.75"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</row>
    <row r="795" spans="60:74" ht="12.75"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</row>
    <row r="796" spans="60:74" ht="12.75"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</row>
    <row r="797" spans="60:74" ht="12.75"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</row>
    <row r="798" spans="60:74" ht="12.75"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</row>
    <row r="799" spans="60:74" ht="12.75"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</row>
    <row r="800" spans="60:74" ht="12.75"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</row>
    <row r="801" spans="60:74" ht="12.75"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</row>
    <row r="802" spans="60:74" ht="12.75"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</row>
    <row r="803" spans="60:74" ht="12.75"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</row>
    <row r="804" spans="60:74" ht="12.75"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</row>
    <row r="805" spans="60:74" ht="12.75"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</row>
    <row r="806" spans="60:74" ht="12.75"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</row>
    <row r="807" spans="60:74" ht="12.75"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</row>
    <row r="808" spans="60:74" ht="12.75"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</row>
    <row r="809" spans="60:74" ht="12.75"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</row>
    <row r="810" spans="60:74" ht="12.75"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</row>
    <row r="811" spans="60:74" ht="12.75"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</row>
    <row r="812" spans="60:74" ht="12.75"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</row>
    <row r="813" spans="60:74" ht="12.75"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</row>
    <row r="814" spans="60:74" ht="12.75"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</row>
    <row r="815" spans="60:74" ht="12.75"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</row>
    <row r="816" spans="60:74" ht="12.75"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</row>
    <row r="817" spans="60:74" ht="12.75"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</row>
    <row r="818" spans="60:74" ht="12.75"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</row>
    <row r="819" spans="60:74" ht="12.75"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</row>
    <row r="820" spans="60:74" ht="12.75"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</row>
    <row r="821" spans="60:74" ht="12.75"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</row>
    <row r="822" spans="60:74" ht="12.75"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</row>
    <row r="823" spans="60:74" ht="12.75"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</row>
    <row r="824" spans="60:74" ht="12.75"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</row>
    <row r="825" spans="60:74" ht="12.75"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</row>
    <row r="826" spans="60:74" ht="12.75"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</row>
    <row r="827" spans="60:74" ht="12.75"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</row>
    <row r="828" spans="60:74" ht="12.75"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</row>
    <row r="829" spans="60:74" ht="12.75"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</row>
    <row r="830" spans="60:74" ht="12.75"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</row>
    <row r="831" spans="60:74" ht="12.75"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</row>
    <row r="832" spans="60:74" ht="12.75"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</row>
    <row r="833" spans="60:74" ht="12.75"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</row>
    <row r="834" spans="60:74" ht="12.75"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</row>
    <row r="835" spans="60:74" ht="12.75"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</row>
    <row r="836" spans="60:74" ht="12.75"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</row>
    <row r="837" spans="60:74" ht="12.75"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</row>
    <row r="838" spans="60:74" ht="12.75"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</row>
    <row r="839" spans="60:74" ht="12.75"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</row>
    <row r="840" spans="60:74" ht="12.75"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</row>
    <row r="841" spans="60:74" ht="12.75"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</row>
    <row r="842" spans="60:74" ht="12.75"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</row>
    <row r="843" spans="60:74" ht="12.75"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</row>
    <row r="844" spans="60:74" ht="12.75"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</row>
    <row r="845" spans="60:74" ht="12.75"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</row>
    <row r="846" spans="60:74" ht="12.75"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</row>
    <row r="847" spans="60:74" ht="12.75"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</row>
    <row r="848" spans="60:74" ht="12.75"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</row>
    <row r="849" spans="60:74" ht="12.75"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</row>
    <row r="850" spans="60:74" ht="12.75"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</row>
    <row r="851" spans="60:74" ht="12.75"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</row>
    <row r="852" spans="60:74" ht="12.75"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</row>
    <row r="853" spans="60:74" ht="12.75"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</row>
    <row r="854" spans="60:74" ht="12.75"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</row>
    <row r="855" spans="60:74" ht="12.75"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</row>
    <row r="856" spans="60:74" ht="12.75"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</row>
    <row r="857" spans="60:74" ht="12.75"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</row>
    <row r="858" spans="60:74" ht="12.75"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</row>
    <row r="859" spans="60:74" ht="12.75"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</row>
    <row r="860" spans="60:74" ht="12.75"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</row>
    <row r="861" spans="60:74" ht="12.75"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</row>
    <row r="862" spans="60:74" ht="12.75"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</row>
    <row r="863" spans="60:74" ht="12.75"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</row>
    <row r="864" spans="60:74" ht="12.75"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</row>
    <row r="865" spans="60:74" ht="12.75"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</row>
    <row r="866" spans="60:74" ht="12.75"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</row>
    <row r="867" spans="60:74" ht="12.75"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</row>
    <row r="868" spans="60:74" ht="12.75"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</row>
    <row r="869" spans="60:74" ht="12.75"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</row>
    <row r="870" spans="60:74" ht="12.75"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</row>
    <row r="871" spans="60:74" ht="12.75"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</row>
    <row r="872" spans="60:74" ht="12.75"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</row>
    <row r="873" spans="60:74" ht="12.75"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</row>
    <row r="874" spans="60:74" ht="12.75"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</row>
    <row r="875" spans="60:74" ht="12.75"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</row>
    <row r="876" spans="60:74" ht="12.75"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</row>
    <row r="877" spans="60:74" ht="12.75"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</row>
    <row r="878" spans="60:74" ht="12.75"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</row>
    <row r="879" spans="60:74" ht="12.75"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</row>
    <row r="880" spans="60:74" ht="12.75"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</row>
    <row r="881" spans="60:74" ht="12.75"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</row>
    <row r="882" spans="60:74" ht="12.75"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</row>
    <row r="883" spans="60:74" ht="12.75"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</row>
    <row r="884" spans="60:74" ht="12.75"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</row>
    <row r="885" spans="60:74" ht="12.75"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</row>
    <row r="886" spans="60:74" ht="12.75"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</row>
    <row r="887" spans="60:74" ht="12.75"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</row>
    <row r="888" spans="60:74" ht="12.75"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</row>
    <row r="889" spans="60:74" ht="12.75"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</row>
    <row r="890" spans="60:74" ht="12.75"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</row>
    <row r="891" spans="60:74" ht="12.75"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</row>
    <row r="892" spans="60:74" ht="12.75"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</row>
    <row r="893" spans="60:74" ht="12.75"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</row>
    <row r="894" spans="60:74" ht="12.75"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</row>
    <row r="895" spans="60:74" ht="12.75"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</row>
    <row r="896" spans="60:74" ht="12.75"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</row>
    <row r="897" spans="60:74" ht="12.75"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</row>
    <row r="898" spans="60:74" ht="12.75"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</row>
    <row r="899" spans="60:74" ht="12.75"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</row>
    <row r="900" spans="60:74" ht="12.75"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</row>
    <row r="901" spans="60:74" ht="12.75"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</row>
    <row r="902" spans="60:74" ht="12.75"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</row>
    <row r="903" spans="60:74" ht="12.75"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</row>
    <row r="904" spans="60:74" ht="12.75"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</row>
    <row r="905" spans="60:74" ht="12.75"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</row>
    <row r="906" spans="60:74" ht="12.75"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</row>
    <row r="907" spans="60:74" ht="12.75"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</row>
    <row r="908" spans="60:74" ht="12.75"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</row>
    <row r="909" spans="60:74" ht="12.75"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</row>
    <row r="910" spans="60:74" ht="12.75"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</row>
    <row r="911" spans="60:74" ht="12.75"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</row>
    <row r="912" spans="60:74" ht="12.75"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</row>
    <row r="913" spans="60:74" ht="12.75"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</row>
    <row r="914" spans="60:74" ht="12.75"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</row>
    <row r="915" spans="60:74" ht="12.75"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</row>
    <row r="916" spans="60:74" ht="12.75"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</row>
    <row r="917" spans="60:74" ht="12.75"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</row>
    <row r="918" spans="60:74" ht="12.75"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</row>
    <row r="919" spans="60:74" ht="12.75"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</row>
    <row r="920" spans="60:74" ht="12.75"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</row>
    <row r="921" spans="60:74" ht="12.75"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</row>
    <row r="922" spans="60:74" ht="12.75"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</row>
    <row r="923" spans="60:74" ht="12.75"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</row>
    <row r="924" spans="60:74" ht="12.75"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</row>
    <row r="925" spans="60:74" ht="12.75"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</row>
    <row r="926" spans="60:74" ht="12.75"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</row>
    <row r="927" spans="60:74" ht="12.75"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</row>
    <row r="928" spans="60:74" ht="12.75"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</row>
    <row r="929" spans="60:74" ht="12.75"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</row>
    <row r="930" spans="60:74" ht="12.75"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</row>
    <row r="931" spans="60:74" ht="12.75"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</row>
    <row r="932" spans="60:74" ht="12.75"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</row>
    <row r="933" spans="60:74" ht="12.75"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</row>
    <row r="934" spans="60:74" ht="12.75"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</row>
    <row r="935" spans="60:74" ht="12.75"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</row>
    <row r="936" spans="60:74" ht="12.75"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</row>
    <row r="937" spans="60:74" ht="12.75"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</row>
    <row r="938" spans="60:74" ht="12.75"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</row>
    <row r="939" spans="60:74" ht="12.75"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</row>
    <row r="940" spans="60:74" ht="12.75"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</row>
    <row r="941" spans="60:74" ht="12.75"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</row>
    <row r="942" spans="60:74" ht="12.75"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</row>
    <row r="943" spans="60:74" ht="12.75"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</row>
    <row r="944" spans="60:74" ht="12.75"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</row>
    <row r="945" spans="60:74" ht="12.75"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</row>
    <row r="946" spans="60:74" ht="12.75"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</row>
    <row r="947" spans="60:74" ht="12.75"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</row>
    <row r="948" spans="60:74" ht="12.75"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</row>
    <row r="949" spans="60:74" ht="12.75"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</row>
    <row r="950" spans="60:74" ht="12.75"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</row>
    <row r="951" spans="60:74" ht="12.75"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</row>
    <row r="952" spans="60:74" ht="12.75"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</row>
    <row r="953" spans="60:74" ht="12.75"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</row>
    <row r="954" spans="60:74" ht="12.75"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</row>
    <row r="955" spans="60:74" ht="12.75"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</row>
    <row r="956" spans="60:74" ht="12.75"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</row>
    <row r="957" spans="60:74" ht="12.75"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</row>
    <row r="958" spans="60:74" ht="12.75"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</row>
    <row r="959" spans="60:74" ht="12.75"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</row>
    <row r="960" spans="60:74" ht="12.75"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</row>
    <row r="961" spans="60:74" ht="12.75"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</row>
    <row r="962" spans="60:74" ht="12.75"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</row>
    <row r="963" spans="60:74" ht="12.75"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</row>
    <row r="964" spans="60:74" ht="12.75"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</row>
    <row r="965" spans="60:74" ht="12.75"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</row>
    <row r="966" spans="60:74" ht="12.75"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</row>
    <row r="967" spans="60:74" ht="12.75"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</row>
    <row r="968" spans="60:74" ht="12.75"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</row>
    <row r="969" spans="60:74" ht="12.75"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</row>
    <row r="970" spans="60:74" ht="12.75"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</row>
    <row r="971" spans="60:74" ht="12.75"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</row>
    <row r="972" spans="60:74" ht="12.75"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</row>
    <row r="973" spans="60:74" ht="12.75"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</row>
    <row r="974" spans="60:74" ht="12.75"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</row>
    <row r="975" spans="60:74" ht="12.75"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</row>
    <row r="976" spans="60:74" ht="12.75"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</row>
    <row r="977" spans="60:74" ht="12.75"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</row>
    <row r="978" spans="60:74" ht="12.75"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</row>
    <row r="979" spans="60:74" ht="12.75"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</row>
    <row r="980" spans="60:74" ht="12.75"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</row>
    <row r="981" spans="60:74" ht="12.75"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</row>
    <row r="982" spans="60:74" ht="12.75"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</row>
    <row r="983" spans="60:74" ht="12.75"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</row>
    <row r="984" spans="60:74" ht="12.75"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</row>
    <row r="985" spans="60:74" ht="12.75"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</row>
    <row r="986" spans="60:74" ht="12.75"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</row>
    <row r="987" spans="60:74" ht="12.75"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</row>
    <row r="988" spans="60:74" ht="12.75"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</row>
    <row r="989" spans="60:74" ht="12.75"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</row>
    <row r="990" spans="60:74" ht="12.75"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</row>
    <row r="991" spans="60:74" ht="12.75"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</row>
    <row r="992" spans="60:74" ht="12.75"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</row>
    <row r="993" spans="60:74" ht="12.75"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</row>
    <row r="994" spans="60:74" ht="12.75"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</row>
    <row r="995" spans="60:74" ht="12.75"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</row>
    <row r="996" spans="60:74" ht="12.75"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</row>
    <row r="997" spans="60:74" ht="12.75"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</row>
    <row r="998" spans="60:74" ht="12.75"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</row>
    <row r="999" spans="60:74" ht="12.75"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</row>
    <row r="1000" spans="60:74" ht="12.75"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</row>
    <row r="1001" spans="60:74" ht="12.75"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</row>
    <row r="1002" spans="60:74" ht="12.75"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</row>
    <row r="1003" spans="60:74" ht="12.75"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</row>
    <row r="1004" spans="60:74" ht="12.75"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</row>
    <row r="1005" spans="60:74" ht="12.75"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</row>
    <row r="1006" spans="60:74" ht="12.75"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</row>
    <row r="1007" spans="60:74" ht="12.75"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</row>
    <row r="1008" spans="60:74" ht="12.75"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</row>
    <row r="1009" spans="60:74" ht="12.75"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</row>
    <row r="1010" spans="60:74" ht="12.75"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</row>
    <row r="1011" spans="60:74" ht="12.75"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</row>
    <row r="1012" spans="60:74" ht="12.75"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</row>
    <row r="1013" spans="60:74" ht="12.75"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</row>
    <row r="1014" spans="60:74" ht="12.75"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</row>
    <row r="1015" spans="60:74" ht="12.75"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</row>
    <row r="1016" spans="60:74" ht="12.75"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</row>
    <row r="1017" spans="60:74" ht="12.75"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</row>
    <row r="1018" spans="60:74" ht="12.75"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</row>
    <row r="1019" spans="60:74" ht="12.75"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</row>
    <row r="1020" spans="60:74" ht="12.75"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</row>
    <row r="1021" spans="60:74" ht="12.75"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</row>
    <row r="1022" spans="60:74" ht="12.75"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</row>
    <row r="1023" spans="60:74" ht="12.75"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</row>
    <row r="1024" spans="60:74" ht="12.75"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</row>
    <row r="1025" spans="60:74" ht="12.75"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</row>
    <row r="1026" spans="60:74" ht="12.75"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</row>
    <row r="1027" spans="60:74" ht="12.75"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</row>
    <row r="1028" spans="60:74" ht="12.75"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</row>
    <row r="1029" spans="60:74" ht="12.75"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</row>
    <row r="1030" spans="60:74" ht="12.75"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</row>
    <row r="1031" spans="60:74" ht="12.75"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</row>
    <row r="1032" spans="60:74" ht="12.75"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</row>
    <row r="1033" spans="60:74" ht="12.75"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</row>
    <row r="1034" spans="60:74" ht="12.75"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</row>
    <row r="1035" spans="60:74" ht="12.75"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</row>
    <row r="1036" spans="60:74" ht="12.75"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</row>
    <row r="1037" spans="60:74" ht="12.75"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</row>
    <row r="1038" spans="60:74" ht="12.75"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</row>
    <row r="1039" spans="60:74" ht="12.75"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</row>
    <row r="1040" spans="60:74" ht="12.75"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</row>
    <row r="1041" spans="60:74" ht="12.75"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</row>
    <row r="1042" spans="60:74" ht="12.75"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</row>
    <row r="1043" spans="60:74" ht="12.75"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</row>
    <row r="1044" spans="60:74" ht="12.75"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</row>
    <row r="1045" spans="60:74" ht="12.75"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</row>
    <row r="1046" spans="60:74" ht="12.75"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</row>
    <row r="1047" spans="60:74" ht="12.75"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</row>
    <row r="1048" spans="60:74" ht="12.75"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</row>
    <row r="1049" spans="60:74" ht="12.75"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</row>
    <row r="1050" spans="60:74" ht="12.75"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</row>
    <row r="1051" spans="60:74" ht="12.75"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</row>
    <row r="1052" spans="60:74" ht="12.75"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</row>
    <row r="1053" spans="60:74" ht="12.75"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</row>
    <row r="1054" spans="60:74" ht="12.75"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</row>
    <row r="1055" spans="60:74" ht="12.75"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</row>
    <row r="1056" spans="60:74" ht="12.75"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</row>
    <row r="1057" spans="60:74" ht="12.75"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</row>
    <row r="1058" spans="60:74" ht="12.75"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</row>
    <row r="1059" spans="60:74" ht="12.75"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</row>
    <row r="1060" spans="60:74" ht="12.75"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</row>
    <row r="1061" spans="60:74" ht="12.75"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</row>
    <row r="1062" spans="60:74" ht="12.75"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</row>
    <row r="1063" spans="60:74" ht="12.75"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</row>
    <row r="1064" spans="60:74" ht="12.75"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</row>
    <row r="1065" spans="60:74" ht="12.75"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</row>
    <row r="1066" spans="60:74" ht="12.75"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</row>
    <row r="1067" spans="60:74" ht="12.75"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</row>
    <row r="1068" spans="60:74" ht="12.75"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</row>
    <row r="1069" spans="60:74" ht="12.75"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</row>
    <row r="1070" spans="60:74" ht="12.75"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</row>
    <row r="1071" spans="60:74" ht="12.75"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</row>
    <row r="1072" spans="60:74" ht="12.75"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</row>
    <row r="1073" spans="60:74" ht="12.75"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</row>
    <row r="1074" spans="60:74" ht="12.75"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</row>
    <row r="1075" spans="60:74" ht="12.75"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</row>
    <row r="1076" spans="60:74" ht="12.75"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</row>
    <row r="1077" spans="60:74" ht="12.75"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</row>
    <row r="1078" spans="60:74" ht="12.75"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</row>
    <row r="1079" spans="60:74" ht="12.75"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</row>
    <row r="1080" spans="60:74" ht="12.75"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</row>
    <row r="1081" spans="60:74" ht="12.75"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</row>
    <row r="1082" spans="60:74" ht="12.75"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</row>
    <row r="1083" spans="60:74" ht="12.75"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</row>
    <row r="1084" spans="60:74" ht="12.75"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</row>
    <row r="1085" spans="60:74" ht="12.75"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</row>
    <row r="1086" spans="60:74" ht="12.75"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</row>
    <row r="1087" spans="60:74" ht="12.75"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</row>
    <row r="1088" spans="60:74" ht="12.75"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</row>
    <row r="1089" spans="60:74" ht="12.75"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</row>
    <row r="1090" spans="60:74" ht="12.75"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</row>
    <row r="1091" spans="60:74" ht="12.75"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</row>
    <row r="1092" spans="60:74" ht="12.75"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</row>
    <row r="1093" spans="60:74" ht="12.75"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</row>
    <row r="1094" spans="60:74" ht="12.75"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</row>
    <row r="1095" spans="60:74" ht="12.75"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</row>
    <row r="1096" spans="60:74" ht="12.75"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</row>
    <row r="1097" spans="60:74" ht="12.75"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</row>
    <row r="1098" spans="60:74" ht="12.75"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</row>
    <row r="1099" spans="60:74" ht="12.75"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</row>
    <row r="1100" spans="60:74" ht="12.75"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</row>
    <row r="1101" spans="60:74" ht="12.75"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</row>
    <row r="1102" spans="60:74" ht="12.75"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</row>
    <row r="1103" spans="60:74" ht="12.75"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</row>
    <row r="1104" spans="60:74" ht="12.75"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</row>
    <row r="1105" spans="60:74" ht="12.75"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</row>
    <row r="1106" spans="60:74" ht="12.75"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</row>
    <row r="1107" spans="60:74" ht="12.75"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</row>
    <row r="1108" spans="60:74" ht="12.75"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</row>
    <row r="1109" spans="60:74" ht="12.75"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</row>
    <row r="1110" spans="60:74" ht="12.75"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</row>
    <row r="1111" spans="60:74" ht="12.75"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</row>
    <row r="1112" spans="60:74" ht="12.75"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</row>
    <row r="1113" spans="60:74" ht="12.75"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</row>
    <row r="1114" spans="60:74" ht="12.75"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</row>
    <row r="1115" spans="60:74" ht="12.75"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</row>
    <row r="1116" spans="60:74" ht="12.75"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</row>
    <row r="1117" spans="60:74" ht="12.75"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</row>
    <row r="1118" spans="60:74" ht="12.75"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</row>
    <row r="1119" spans="60:74" ht="12.75"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</row>
    <row r="1120" spans="60:74" ht="12.75"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</row>
    <row r="1121" spans="60:74" ht="12.75"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</row>
    <row r="1122" spans="60:74" ht="12.75"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</row>
    <row r="1123" spans="60:74" ht="12.75"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</row>
    <row r="1124" spans="60:74" ht="12.75"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</row>
    <row r="1125" spans="60:74" ht="12.75"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</row>
    <row r="1126" spans="60:74" ht="12.75"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</row>
    <row r="1127" spans="60:74" ht="12.75"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</row>
    <row r="1128" spans="60:74" ht="12.75"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</row>
    <row r="1129" spans="60:74" ht="12.75"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</row>
    <row r="1130" spans="60:74" ht="12.75"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</row>
    <row r="1131" spans="60:74" ht="12.75"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</row>
    <row r="1132" spans="60:74" ht="12.75"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</row>
    <row r="1133" spans="60:74" ht="12.75"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</row>
    <row r="1134" spans="60:74" ht="12.75"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</row>
    <row r="1135" spans="60:74" ht="12.75"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</row>
    <row r="1136" spans="60:74" ht="12.75"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</row>
    <row r="1137" spans="60:74" ht="12.75"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</row>
    <row r="1138" spans="60:74" ht="12.75"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</row>
    <row r="1139" spans="60:74" ht="12.75"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</row>
    <row r="1140" spans="60:74" ht="12.75"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</row>
    <row r="1141" spans="60:74" ht="12.75"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</row>
    <row r="1142" spans="60:74" ht="12.75"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</row>
    <row r="1143" spans="60:74" ht="12.75"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</row>
    <row r="1144" spans="60:74" ht="12.75"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</row>
    <row r="1145" spans="60:74" ht="12.75"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</row>
    <row r="1146" spans="60:74" ht="12.75"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</row>
    <row r="1147" spans="60:74" ht="12.75"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</row>
    <row r="1148" spans="60:74" ht="12.75"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</row>
    <row r="1149" spans="60:74" ht="12.75"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</row>
    <row r="1150" spans="60:74" ht="12.75"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</row>
    <row r="1151" spans="60:74" ht="12.75"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</row>
    <row r="1152" spans="60:74" ht="12.75"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</row>
    <row r="1153" spans="60:74" ht="12.75"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</row>
    <row r="1154" spans="60:74" ht="12.75"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</row>
    <row r="1155" spans="60:74" ht="12.75"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</row>
    <row r="1156" spans="60:74" ht="12.75"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</row>
    <row r="1157" spans="60:74" ht="12.75"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</row>
    <row r="1158" spans="60:74" ht="12.75"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</row>
    <row r="1159" spans="60:74" ht="12.75"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</row>
    <row r="1160" spans="60:74" ht="12.75"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</row>
    <row r="1161" spans="60:74" ht="12.75"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</row>
    <row r="1162" spans="60:74" ht="12.75"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</row>
    <row r="1163" spans="60:74" ht="12.75"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</row>
    <row r="1164" spans="60:74" ht="12.75"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</row>
    <row r="1165" spans="60:74" ht="12.75"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</row>
    <row r="1166" spans="60:74" ht="12.75"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</row>
    <row r="1167" spans="60:74" ht="12.75"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</row>
    <row r="1168" spans="60:74" ht="12.75"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</row>
    <row r="1169" spans="60:74" ht="12.75"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</row>
    <row r="1170" spans="60:74" ht="12.75"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</row>
    <row r="1171" spans="60:74" ht="12.75"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</row>
    <row r="1172" spans="60:74" ht="12.75"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</row>
    <row r="1173" spans="60:74" ht="12.75"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</row>
    <row r="1174" spans="60:74" ht="12.75"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</row>
    <row r="1175" spans="60:74" ht="12.75"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</row>
    <row r="1176" spans="60:74" ht="12.75"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</row>
    <row r="1177" spans="60:74" ht="12.75"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</row>
    <row r="1178" spans="60:74" ht="12.75"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</row>
    <row r="1179" spans="60:74" ht="12.75"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</row>
    <row r="1180" spans="60:74" ht="12.75"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</row>
    <row r="1181" spans="60:74" ht="12.75"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</row>
    <row r="1182" spans="60:74" ht="12.75"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</row>
    <row r="1183" spans="60:74" ht="12.75"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</row>
    <row r="1184" spans="60:74" ht="12.75"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</row>
    <row r="1185" spans="60:74" ht="12.75"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</row>
    <row r="1186" spans="60:74" ht="12.75"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</row>
    <row r="1187" spans="60:74" ht="12.75"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</row>
    <row r="1188" spans="60:74" ht="12.75"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</row>
    <row r="1189" spans="60:74" ht="12.75"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</row>
    <row r="1190" spans="60:74" ht="12.75"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</row>
    <row r="1191" spans="60:74" ht="12.75"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</row>
    <row r="1192" spans="60:74" ht="12.75"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</row>
    <row r="1193" spans="60:74" ht="12.75"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</row>
    <row r="1194" spans="60:74" ht="12.75"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</row>
    <row r="1195" spans="60:74" ht="12.75"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</row>
    <row r="1196" spans="60:74" ht="12.75"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</row>
    <row r="1197" spans="60:74" ht="12.75"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</row>
    <row r="1198" spans="60:74" ht="12.75"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</row>
    <row r="1199" spans="60:74" ht="12.75"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</row>
    <row r="1200" spans="60:74" ht="12.75"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</row>
    <row r="1201" spans="60:74" ht="12.75"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</row>
    <row r="1202" spans="60:74" ht="12.75"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</row>
    <row r="1203" spans="60:74" ht="12.75"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</row>
    <row r="1204" spans="60:74" ht="12.75"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</row>
    <row r="1205" spans="60:74" ht="12.75"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</row>
    <row r="1206" spans="60:74" ht="12.75"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</row>
    <row r="1207" spans="60:74" ht="12.75"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</row>
    <row r="1208" spans="60:74" ht="12.75"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</row>
    <row r="1209" spans="60:74" ht="12.75"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</row>
    <row r="1210" spans="60:74" ht="12.75"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</row>
    <row r="1211" spans="60:74" ht="12.75"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</row>
    <row r="1212" spans="60:74" ht="12.75"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</row>
    <row r="1213" spans="60:74" ht="12.75"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</row>
    <row r="1214" spans="60:74" ht="12.75"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</row>
    <row r="1215" spans="60:74" ht="12.75"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</row>
    <row r="1216" spans="60:74" ht="12.75"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</row>
    <row r="1217" spans="60:74" ht="12.75"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</row>
    <row r="1218" spans="60:74" ht="12.75"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</row>
    <row r="1219" spans="60:74" ht="12.75"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</row>
    <row r="1220" spans="60:74" ht="12.75"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</row>
    <row r="1221" spans="60:74" ht="12.75"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</row>
    <row r="1222" spans="60:74" ht="12.75"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</row>
    <row r="1223" spans="60:74" ht="12.75"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</row>
    <row r="1224" spans="60:74" ht="12.75"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</row>
    <row r="1225" spans="60:74" ht="12.75"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</row>
    <row r="1226" spans="60:74" ht="12.75"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</row>
    <row r="1227" spans="60:74" ht="12.75"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</row>
    <row r="1228" spans="60:74" ht="12.75"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</row>
    <row r="1229" spans="60:74" ht="12.75"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</row>
    <row r="1230" spans="60:74" ht="12.75"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</row>
    <row r="1231" spans="60:74" ht="12.75"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</row>
    <row r="1232" spans="60:74" ht="12.75"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</row>
    <row r="1233" spans="60:74" ht="12.75"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</row>
    <row r="1234" spans="60:74" ht="12.75"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</row>
    <row r="1235" spans="60:74" ht="12.75"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</row>
    <row r="1236" spans="60:74" ht="12.75"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</row>
    <row r="1237" spans="60:74" ht="12.75"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</row>
    <row r="1238" spans="60:74" ht="12.75"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</row>
    <row r="1239" spans="60:74" ht="12.75"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</row>
    <row r="1240" spans="60:74" ht="12.75"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</row>
    <row r="1241" spans="60:74" ht="12.75"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</row>
    <row r="1242" spans="60:74" ht="12.75"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</row>
    <row r="1243" spans="60:74" ht="12.75"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</row>
    <row r="1244" spans="60:74" ht="12.75"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</row>
    <row r="1245" spans="60:74" ht="12.75"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</row>
    <row r="1246" spans="60:74" ht="12.75"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</row>
    <row r="1247" spans="60:74" ht="12.75"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</row>
    <row r="1248" spans="60:74" ht="12.75"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</row>
    <row r="1249" spans="60:74" ht="12.75"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</row>
    <row r="1250" spans="60:74" ht="12.75"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</row>
    <row r="1251" spans="60:74" ht="12.75"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</row>
    <row r="1252" spans="60:74" ht="12.75"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</row>
    <row r="1253" spans="60:74" ht="12.75"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</row>
    <row r="1254" spans="60:74" ht="12.75"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</row>
    <row r="1255" spans="60:74" ht="12.75"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</row>
    <row r="1256" spans="60:74" ht="12.75"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</row>
    <row r="1257" spans="60:74" ht="12.75"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</row>
    <row r="1258" spans="60:74" ht="12.75"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</row>
    <row r="1259" spans="60:74" ht="12.75"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</row>
    <row r="1260" spans="60:74" ht="12.75"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</row>
    <row r="1261" spans="60:74" ht="12.75"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</row>
    <row r="1262" spans="60:74" ht="12.75"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</row>
    <row r="1263" spans="60:74" ht="12.75"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</row>
    <row r="1264" spans="60:74" ht="12.75"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</row>
    <row r="1265" spans="60:74" ht="12.75"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</row>
    <row r="1266" spans="60:74" ht="12.75"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</row>
    <row r="1267" spans="60:74" ht="12.75"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</row>
    <row r="1268" spans="60:74" ht="12.75"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</row>
    <row r="1269" spans="60:74" ht="12.75"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</row>
    <row r="1270" spans="60:74" ht="12.75"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</row>
    <row r="1271" spans="60:74" ht="12.75"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</row>
    <row r="1272" spans="60:74" ht="12.75"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</row>
    <row r="1273" spans="60:74" ht="12.75"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</row>
    <row r="1274" spans="60:74" ht="12.75"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</row>
    <row r="1275" spans="60:74" ht="12.75"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</row>
    <row r="1276" spans="60:74" ht="12.75"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</row>
    <row r="1277" spans="60:74" ht="12.75"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</row>
    <row r="1278" spans="60:74" ht="12.75"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</row>
    <row r="1279" spans="60:74" ht="12.75"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</row>
    <row r="1280" spans="60:74" ht="12.75"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</row>
    <row r="1281" spans="60:74" ht="12.75"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</row>
    <row r="1282" spans="60:74" ht="12.75"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</row>
    <row r="1283" spans="60:74" ht="12.75"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</row>
    <row r="1284" spans="60:74" ht="12.75"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</row>
    <row r="1285" spans="60:74" ht="12.75"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</row>
    <row r="1286" spans="60:74" ht="12.75"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</row>
    <row r="1287" spans="60:74" ht="12.75"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</row>
    <row r="1288" spans="60:74" ht="12.75"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</row>
    <row r="1289" spans="60:74" ht="12.75"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</row>
    <row r="1290" spans="60:74" ht="12.75"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</row>
    <row r="1291" spans="60:74" ht="12.75"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</row>
    <row r="1292" spans="60:74" ht="12.75"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</row>
    <row r="1293" spans="60:74" ht="12.75"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</row>
    <row r="1294" spans="60:74" ht="12.75"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</row>
    <row r="1295" spans="60:74" ht="12.75"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</row>
    <row r="1296" spans="60:74" ht="12.75"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</row>
    <row r="1297" spans="60:74" ht="12.75"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</row>
    <row r="1298" spans="60:74" ht="12.75"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</row>
    <row r="1299" spans="60:74" ht="12.75"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</row>
    <row r="1300" spans="60:74" ht="12.75"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</row>
    <row r="1301" spans="60:74" ht="12.75"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</row>
    <row r="1302" spans="60:74" ht="12.75"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</row>
    <row r="1303" spans="60:74" ht="12.75"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</row>
    <row r="1304" spans="60:74" ht="12.75"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</row>
    <row r="1305" spans="60:74" ht="12.75"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</row>
    <row r="1306" spans="60:74" ht="12.75"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</row>
    <row r="1307" spans="60:74" ht="12.75"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</row>
    <row r="1308" spans="60:74" ht="12.75"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</row>
    <row r="1309" spans="60:74" ht="12.75"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</row>
    <row r="1310" spans="60:74" ht="12.75"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</row>
    <row r="1311" spans="60:74" ht="12.75"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</row>
    <row r="1312" spans="60:74" ht="12.75"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</row>
    <row r="1313" spans="60:74" ht="12.75"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</row>
    <row r="1314" spans="60:74" ht="12.75"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</row>
    <row r="1315" spans="60:74" ht="12.75"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</row>
    <row r="1316" spans="60:74" ht="12.75"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</row>
    <row r="1317" spans="60:74" ht="12.75"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</row>
    <row r="1318" spans="60:74" ht="12.75"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</row>
    <row r="1319" spans="60:74" ht="12.75"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</row>
    <row r="1320" spans="60:74" ht="12.75"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</row>
    <row r="1321" spans="60:74" ht="12.75"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</row>
    <row r="1322" spans="60:74" ht="12.75"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</row>
    <row r="1323" spans="60:74" ht="12.75"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</row>
    <row r="1324" spans="60:74" ht="12.75"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</row>
    <row r="1325" spans="60:74" ht="12.75"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</row>
    <row r="1326" spans="60:74" ht="12.75"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</row>
    <row r="1327" spans="60:74" ht="12.75"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</row>
    <row r="1328" spans="60:74" ht="12.75"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</row>
    <row r="1329" spans="60:74" ht="12.75"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</row>
    <row r="1330" spans="60:74" ht="12.75"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</row>
    <row r="1331" spans="60:74" ht="12.75"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</row>
    <row r="1332" spans="60:74" ht="12.75"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</row>
    <row r="1333" spans="60:74" ht="12.75"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</row>
    <row r="1334" spans="60:74" ht="12.75"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</row>
    <row r="1335" spans="60:74" ht="12.75"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</row>
    <row r="1336" spans="60:74" ht="12.75"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</row>
    <row r="1337" spans="60:74" ht="12.75"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</row>
    <row r="1338" spans="60:74" ht="12.75"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</row>
    <row r="1339" spans="60:74" ht="12.75"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</row>
    <row r="1340" spans="60:74" ht="12.75"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</row>
    <row r="1341" spans="60:74" ht="12.75"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</row>
    <row r="1342" spans="60:74" ht="12.75"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</row>
    <row r="1343" spans="60:74" ht="12.75"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</row>
    <row r="1344" spans="60:74" ht="12.75"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</row>
    <row r="1345" spans="60:74" ht="12.75"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</row>
    <row r="1346" spans="60:74" ht="12.75"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</row>
    <row r="1347" spans="60:74" ht="12.75"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</row>
    <row r="1348" spans="60:74" ht="12.75"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</row>
    <row r="1349" spans="60:74" ht="12.75"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</row>
    <row r="1350" spans="60:74" ht="12.75"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</row>
    <row r="1351" spans="60:74" ht="12.75"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</row>
    <row r="1352" spans="60:74" ht="12.75"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</row>
    <row r="1353" spans="60:74" ht="12.75"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</row>
    <row r="1354" spans="60:74" ht="12.75"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</row>
    <row r="1355" spans="60:74" ht="12.75"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</row>
    <row r="1356" spans="60:74" ht="12.75"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</row>
    <row r="1357" spans="60:74" ht="12.75"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</row>
    <row r="1358" spans="60:74" ht="12.75"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</row>
    <row r="1359" spans="60:74" ht="12.75"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</row>
    <row r="1360" spans="60:74" ht="12.75"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</row>
    <row r="1361" spans="60:74" ht="12.75"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</row>
    <row r="1362" spans="60:74" ht="12.75"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</row>
    <row r="1363" spans="60:74" ht="12.75"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</row>
    <row r="1364" spans="60:74" ht="12.75"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</row>
    <row r="1365" spans="60:74" ht="12.75"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</row>
    <row r="1366" spans="60:74" ht="12.75"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</row>
    <row r="1367" spans="60:74" ht="12.75"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</row>
    <row r="1368" spans="60:74" ht="12.75"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</row>
    <row r="1369" spans="60:74" ht="12.75"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</row>
    <row r="1370" spans="60:74" ht="12.75"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</row>
    <row r="1371" spans="60:74" ht="12.75"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</row>
    <row r="1372" spans="60:74" ht="12.75"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</row>
    <row r="1373" spans="60:74" ht="12.75"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</row>
    <row r="1374" spans="60:74" ht="12.75"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</row>
    <row r="1375" spans="60:74" ht="12.75"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</row>
    <row r="1376" spans="60:74" ht="12.75"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</row>
    <row r="1377" spans="60:74" ht="12.75"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</row>
    <row r="1378" spans="60:74" ht="12.75"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</row>
    <row r="1379" spans="60:74" ht="12.75"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</row>
    <row r="1380" spans="60:74" ht="12.75"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</row>
    <row r="1381" spans="60:74" ht="12.75"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</row>
    <row r="1382" spans="60:74" ht="12.75"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</row>
    <row r="1383" spans="60:74" ht="12.75"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</row>
    <row r="1384" spans="60:74" ht="12.75"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</row>
    <row r="1385" spans="60:74" ht="12.75"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</row>
    <row r="1386" spans="60:74" ht="12.75"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</row>
    <row r="1387" spans="60:74" ht="12.75"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</row>
    <row r="1388" spans="60:74" ht="12.75"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</row>
    <row r="1389" spans="60:74" ht="12.75"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</row>
    <row r="1390" spans="60:74" ht="12.75"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</row>
    <row r="1391" spans="60:74" ht="12.75"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</row>
    <row r="1392" spans="60:74" ht="12.75"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</row>
    <row r="1393" spans="60:74" ht="12.75"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</row>
    <row r="1394" spans="60:74" ht="12.75"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</row>
    <row r="1395" spans="60:74" ht="12.75"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</row>
    <row r="1396" spans="60:74" ht="12.75"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</row>
    <row r="1397" spans="60:74" ht="12.75"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</row>
    <row r="1398" spans="60:74" ht="12.75"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</row>
    <row r="1399" spans="60:74" ht="12.75"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</row>
    <row r="1400" spans="60:74" ht="12.75"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</row>
    <row r="1401" spans="60:74" ht="12.75"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</row>
    <row r="1402" spans="60:74" ht="12.75"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</row>
    <row r="1403" spans="60:74" ht="12.75"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</row>
    <row r="1404" spans="60:74" ht="12.75"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</row>
    <row r="1405" spans="60:74" ht="12.75"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</row>
    <row r="1406" spans="60:74" ht="12.75"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</row>
    <row r="1407" spans="60:74" ht="12.75"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</row>
    <row r="1408" spans="60:74" ht="12.75"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</row>
    <row r="1409" spans="60:74" ht="12.75"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</row>
    <row r="1410" spans="60:74" ht="12.75"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</row>
    <row r="1411" spans="60:74" ht="12.75"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</row>
    <row r="1412" spans="60:74" ht="12.75"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</row>
    <row r="1413" spans="60:74" ht="12.75"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</row>
    <row r="1414" spans="60:74" ht="12.75"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</row>
    <row r="1415" spans="60:74" ht="12.75"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</row>
    <row r="1416" spans="60:74" ht="12.75"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</row>
    <row r="1417" spans="60:74" ht="12.75"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</row>
    <row r="1418" spans="60:74" ht="12.75"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</row>
    <row r="1419" spans="60:74" ht="12.75"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</row>
    <row r="1420" spans="60:74" ht="12.75"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</row>
    <row r="1421" spans="60:74" ht="12.75"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</row>
    <row r="1422" spans="60:74" ht="12.75"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</row>
    <row r="1423" spans="60:74" ht="12.75"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</row>
    <row r="1424" spans="60:74" ht="12.75"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</row>
    <row r="1425" spans="60:74" ht="12.75"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</row>
    <row r="1426" spans="60:74" ht="12.75"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</row>
    <row r="1427" spans="60:74" ht="12.75"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</row>
    <row r="1428" spans="60:74" ht="12.75"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</row>
    <row r="1429" spans="60:74" ht="12.75"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</row>
    <row r="1430" spans="60:74" ht="12.75"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</row>
    <row r="1431" spans="60:74" ht="12.75"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</row>
    <row r="1432" spans="60:74" ht="12.75"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</row>
    <row r="1433" spans="60:74" ht="12.75"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</row>
    <row r="1434" spans="60:74" ht="12.75"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</row>
    <row r="1435" spans="60:74" ht="12.75"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</row>
    <row r="1436" spans="60:74" ht="12.75"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</row>
    <row r="1437" spans="60:74" ht="12.75"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</row>
    <row r="1438" spans="60:74" ht="12.75"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</row>
    <row r="1439" spans="60:74" ht="12.75"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</row>
    <row r="1440" spans="60:74" ht="12.75"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</row>
    <row r="1441" spans="60:74" ht="12.75"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</row>
    <row r="1442" spans="60:74" ht="12.75"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</row>
    <row r="1443" spans="60:74" ht="12.75"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</row>
    <row r="1444" spans="60:74" ht="12.75"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</row>
    <row r="1445" spans="60:74" ht="12.75"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</row>
    <row r="1446" spans="60:74" ht="12.75"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</row>
    <row r="1447" spans="60:74" ht="12.75"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</row>
    <row r="1448" spans="60:74" ht="12.75"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</row>
    <row r="1449" spans="60:74" ht="12.75"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</row>
    <row r="1450" spans="60:74" ht="12.75"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</row>
    <row r="1451" spans="60:74" ht="12.75"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</row>
    <row r="1452" spans="60:74" ht="12.75"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</row>
    <row r="1453" spans="60:74" ht="12.75"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</row>
    <row r="1454" spans="60:74" ht="12.75"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</row>
    <row r="1455" spans="60:74" ht="12.75"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</row>
    <row r="1456" spans="60:74" ht="12.75"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</row>
    <row r="1457" spans="60:74" ht="12.75"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</row>
    <row r="1458" spans="60:74" ht="12.75"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</row>
    <row r="1459" spans="60:74" ht="12.75"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</row>
    <row r="1460" spans="60:74" ht="12.75"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</row>
    <row r="1461" spans="60:74" ht="12.75"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</row>
    <row r="1462" spans="60:74" ht="12.75"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</row>
    <row r="1463" spans="60:74" ht="12.75"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</row>
    <row r="1464" spans="60:74" ht="12.75"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</row>
    <row r="1465" spans="60:74" ht="12.75"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</row>
    <row r="1466" spans="60:74" ht="12.75"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</row>
    <row r="1467" spans="60:74" ht="12.75"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</row>
    <row r="1468" spans="60:74" ht="12.75"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</row>
    <row r="1469" spans="60:74" ht="12.75"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</row>
    <row r="1470" spans="60:74" ht="12.75"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</row>
    <row r="1471" spans="60:74" ht="12.75"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</row>
    <row r="1472" spans="60:74" ht="12.75"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</row>
    <row r="1473" spans="60:74" ht="12.75"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</row>
    <row r="1474" spans="60:74" ht="12.75"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</row>
    <row r="1475" spans="60:74" ht="12.75"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</row>
    <row r="1476" spans="60:74" ht="12.75"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</row>
    <row r="1477" spans="60:74" ht="12.75"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</row>
    <row r="1478" spans="60:74" ht="12.75"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</row>
    <row r="1479" spans="60:74" ht="12.75"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</row>
    <row r="1480" spans="60:74" ht="12.75"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</row>
    <row r="1481" spans="60:74" ht="12.75"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</row>
    <row r="1482" spans="60:74" ht="12.75"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</row>
    <row r="1483" spans="60:74" ht="12.75"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</row>
    <row r="1484" spans="60:74" ht="12.75"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</row>
    <row r="1485" spans="60:74" ht="12.75"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</row>
    <row r="1486" spans="60:74" ht="12.75"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</row>
    <row r="1487" spans="60:74" ht="12.75"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</row>
    <row r="1488" spans="60:74" ht="12.75"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</row>
    <row r="1489" spans="60:74" ht="12.75"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</row>
    <row r="1490" spans="60:74" ht="12.75"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</row>
    <row r="1491" spans="60:74" ht="12.75"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</row>
    <row r="1492" spans="60:74" ht="12.75"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</row>
    <row r="1493" spans="60:74" ht="12.75"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</row>
    <row r="1494" spans="60:74" ht="12.75"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</row>
    <row r="1495" spans="60:74" ht="12.75"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</row>
    <row r="1496" spans="60:74" ht="12.75"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</row>
    <row r="1497" spans="60:74" ht="12.75"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</row>
    <row r="1498" spans="60:74" ht="12.75"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</row>
    <row r="1499" spans="60:74" ht="12.75"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</row>
    <row r="1500" spans="60:74" ht="12.75"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</row>
    <row r="1501" spans="60:74" ht="12.75"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</row>
    <row r="1502" spans="60:74" ht="12.75"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</row>
    <row r="1503" spans="60:74" ht="12.75"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</row>
    <row r="1504" spans="60:74" ht="12.75"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</row>
    <row r="1505" spans="60:74" ht="12.75"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</row>
    <row r="1506" spans="60:74" ht="12.75"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</row>
    <row r="1507" spans="60:74" ht="12.75"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</row>
    <row r="1508" spans="60:74" ht="12.75"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</row>
    <row r="1509" spans="60:74" ht="12.75"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</row>
    <row r="1510" spans="60:74" ht="12.75"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</row>
    <row r="1511" spans="60:74" ht="12.75"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</row>
    <row r="1512" spans="60:74" ht="12.75"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</row>
    <row r="1513" spans="60:74" ht="12.75"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</row>
    <row r="1514" spans="60:74" ht="12.75"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</row>
    <row r="1515" spans="60:74" ht="12.75"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</row>
    <row r="1516" spans="60:74" ht="12.75"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</row>
    <row r="1517" spans="60:74" ht="12.75"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</row>
    <row r="1518" spans="60:74" ht="12.75"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</row>
    <row r="1519" spans="60:74" ht="12.75"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</row>
    <row r="1520" spans="60:74" ht="12.75"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</row>
    <row r="1521" spans="60:74" ht="12.75"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</row>
    <row r="1522" spans="60:74" ht="12.75"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</row>
    <row r="1523" spans="60:74" ht="12.75"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</row>
    <row r="1524" spans="60:74" ht="12.75"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</row>
    <row r="1525" spans="60:74" ht="12.75"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</row>
    <row r="1526" spans="60:74" ht="12.75"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</row>
    <row r="1527" spans="60:74" ht="12.75"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</row>
    <row r="1528" spans="60:74" ht="12.75"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</row>
    <row r="1529" spans="60:74" ht="12.75"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</row>
    <row r="1530" spans="60:74" ht="12.75"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</row>
    <row r="1531" spans="60:74" ht="12.75"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</row>
    <row r="1532" spans="60:74" ht="12.75"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</row>
    <row r="1533" spans="60:74" ht="12.75"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</row>
    <row r="1534" spans="60:74" ht="12.75"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</row>
    <row r="1535" spans="60:74" ht="12.75"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</row>
    <row r="1536" spans="60:74" ht="12.75"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</row>
    <row r="1537" spans="60:74" ht="12.75"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</row>
    <row r="1538" spans="60:74" ht="12.75"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</row>
    <row r="1539" spans="60:74" ht="12.75"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</row>
    <row r="1540" spans="60:74" ht="12.75"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</row>
    <row r="1541" spans="60:74" ht="12.75"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</row>
    <row r="1542" spans="60:74" ht="12.75"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</row>
    <row r="1543" spans="60:74" ht="12.75"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</row>
    <row r="1544" spans="60:74" ht="12.75"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</row>
    <row r="1545" spans="60:74" ht="12.75"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</row>
    <row r="1546" spans="60:74" ht="12.75"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</row>
    <row r="1547" spans="60:74" ht="12.75"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</row>
    <row r="1548" spans="60:74" ht="12.75"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</row>
    <row r="1549" spans="60:74" ht="12.75"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</row>
    <row r="1550" spans="60:74" ht="12.75"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</row>
    <row r="1551" spans="60:74" ht="12.75"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</row>
    <row r="1552" spans="60:74" ht="12.75"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</row>
    <row r="1553" spans="60:74" ht="12.75"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</row>
    <row r="1554" spans="60:74" ht="12.75"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</row>
    <row r="1555" spans="60:74" ht="12.75"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</row>
    <row r="1556" spans="60:74" ht="12.75"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</row>
    <row r="1557" spans="60:74" ht="12.75"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</row>
    <row r="1558" spans="60:74" ht="12.75"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</row>
    <row r="1559" spans="60:74" ht="12.75"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</row>
    <row r="1560" spans="60:74" ht="12.75"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</row>
    <row r="1561" spans="60:74" ht="12.75"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</row>
    <row r="1562" spans="60:74" ht="12.75"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</row>
    <row r="1563" spans="60:74" ht="12.75"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</row>
    <row r="1564" spans="60:74" ht="12.75"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</row>
    <row r="1565" spans="60:74" ht="12.75"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</row>
    <row r="1566" spans="60:74" ht="12.75"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</row>
    <row r="1567" spans="60:74" ht="12.75"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</row>
    <row r="1568" spans="60:74" ht="12.75"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</row>
    <row r="1569" spans="60:74" ht="12.75"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</row>
    <row r="1570" spans="60:74" ht="12.75"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</row>
    <row r="1571" spans="60:74" ht="12.75"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</row>
    <row r="1572" spans="60:74" ht="12.75"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</row>
    <row r="1573" spans="60:74" ht="12.75"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</row>
    <row r="1574" spans="60:74" ht="12.75"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</row>
    <row r="1575" spans="60:74" ht="12.75"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</row>
    <row r="1576" spans="60:74" ht="12.75"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</row>
    <row r="1577" spans="60:74" ht="12.75"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</row>
    <row r="1578" spans="60:74" ht="12.75"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</row>
    <row r="1579" spans="60:74" ht="12.75"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</row>
    <row r="1580" spans="60:74" ht="12.75"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</row>
    <row r="1581" spans="60:74" ht="12.75"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</row>
    <row r="1582" spans="60:74" ht="12.75"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</row>
    <row r="1583" spans="60:74" ht="12.75"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</row>
    <row r="1584" spans="60:74" ht="12.75"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</row>
    <row r="1585" spans="60:74" ht="12.75"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</row>
    <row r="1586" spans="60:74" ht="12.75"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</row>
    <row r="1587" spans="60:74" ht="12.75"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</row>
    <row r="1588" spans="60:74" ht="12.75"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</row>
    <row r="1589" spans="60:74" ht="12.75"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</row>
    <row r="1590" spans="60:74" ht="12.75"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</row>
    <row r="1591" spans="60:74" ht="12.75"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</row>
    <row r="1592" spans="60:74" ht="12.75"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</row>
    <row r="1593" spans="60:74" ht="12.75"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</row>
    <row r="1594" spans="60:74" ht="12.75"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</row>
    <row r="1595" spans="60:74" ht="12.75"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</row>
    <row r="1596" spans="60:74" ht="12.75"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</row>
    <row r="1597" spans="60:74" ht="12.75"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</row>
    <row r="1598" spans="60:74" ht="12.75"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</row>
    <row r="1599" spans="60:74" ht="12.75"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</row>
    <row r="1600" spans="60:74" ht="12.75"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</row>
    <row r="1601" spans="60:74" ht="12.75"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</row>
    <row r="1602" spans="60:74" ht="12.75"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</row>
    <row r="1603" spans="60:74" ht="12.75"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</row>
    <row r="1604" spans="60:74" ht="12.75"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</row>
    <row r="1605" spans="60:74" ht="12.75"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</row>
    <row r="1606" spans="60:74" ht="12.75"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</row>
    <row r="1607" spans="60:74" ht="12.75"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</row>
    <row r="1608" spans="60:74" ht="12.75"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</row>
    <row r="1609" spans="60:74" ht="12.75"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</row>
    <row r="1610" spans="60:74" ht="12.75"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</row>
    <row r="1611" spans="60:74" ht="12.75"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</row>
    <row r="1612" spans="60:74" ht="12.75"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</row>
    <row r="1613" spans="60:74" ht="12.75"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</row>
    <row r="1614" spans="60:74" ht="12.75"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</row>
    <row r="1615" spans="60:74" ht="12.75"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</row>
    <row r="1616" spans="60:74" ht="12.75"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</row>
    <row r="1617" spans="60:74" ht="12.75"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</row>
    <row r="1618" spans="60:74" ht="12.75"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</row>
    <row r="1619" spans="60:74" ht="12.75"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</row>
    <row r="1620" spans="60:74" ht="12.75"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</row>
    <row r="1621" spans="60:74" ht="12.75"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</row>
    <row r="1622" spans="60:74" ht="12.75"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</row>
    <row r="1623" spans="60:74" ht="12.75"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</row>
    <row r="1624" spans="60:74" ht="12.75"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</row>
    <row r="1625" spans="60:74" ht="12.75"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</row>
    <row r="1626" spans="60:74" ht="12.75"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</row>
    <row r="1627" spans="60:74" ht="12.75"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</row>
    <row r="1628" spans="60:74" ht="12.75"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</row>
    <row r="1629" spans="60:74" ht="12.75"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</row>
    <row r="1630" spans="60:74" ht="12.75"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</row>
    <row r="1631" spans="60:74" ht="12.75"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</row>
    <row r="1632" spans="60:74" ht="12.75"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</row>
    <row r="1633" spans="60:74" ht="12.75"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</row>
    <row r="1634" spans="60:74" ht="12.75"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</row>
    <row r="1635" spans="60:74" ht="12.75"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</row>
    <row r="1636" spans="60:74" ht="12.75"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</row>
    <row r="1637" spans="60:74" ht="12.75"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</row>
    <row r="1638" spans="60:74" ht="12.75"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</row>
    <row r="1639" spans="60:74" ht="12.75"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</row>
    <row r="1640" spans="60:74" ht="12.75"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</row>
    <row r="1641" spans="60:74" ht="12.75"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</row>
    <row r="1642" spans="60:74" ht="12.75"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</row>
    <row r="1643" spans="60:74" ht="12.75"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</row>
    <row r="1644" spans="60:74" ht="12.75"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</row>
    <row r="1645" spans="60:74" ht="12.75"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</row>
    <row r="1646" spans="60:74" ht="12.75"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</row>
    <row r="1647" spans="60:74" ht="12.75"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</row>
    <row r="1648" spans="60:74" ht="12.75"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</row>
    <row r="1649" spans="60:74" ht="12.75"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</row>
    <row r="1650" spans="60:74" ht="12.75"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</row>
    <row r="1651" spans="60:74" ht="12.75"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</row>
    <row r="1652" spans="60:74" ht="12.75"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</row>
    <row r="1653" spans="60:74" ht="12.75"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</row>
    <row r="1654" spans="60:74" ht="12.75"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</row>
    <row r="1655" spans="60:74" ht="12.75"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</row>
    <row r="1656" spans="60:74" ht="12.75"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</row>
    <row r="1657" spans="60:74" ht="12.75"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</row>
    <row r="1658" spans="60:74" ht="12.75"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</row>
    <row r="1659" spans="60:74" ht="12.75"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</row>
    <row r="1660" spans="60:74" ht="12.75"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</row>
    <row r="1661" spans="60:74" ht="12.75"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</row>
    <row r="1662" spans="60:74" ht="12.75"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</row>
    <row r="1663" spans="60:74" ht="12.75"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</row>
    <row r="1664" spans="60:74" ht="12.75"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</row>
    <row r="1665" spans="60:74" ht="12.75"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</row>
    <row r="1666" spans="60:74" ht="12.75"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</row>
    <row r="1667" spans="60:74" ht="12.75"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</row>
    <row r="1668" spans="60:74" ht="12.75"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</row>
    <row r="1669" spans="60:74" ht="12.75"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</row>
    <row r="1670" spans="60:74" ht="12.75"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</row>
    <row r="1671" spans="60:74" ht="12.75"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</row>
    <row r="1672" spans="60:74" ht="12.75"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</row>
    <row r="1673" spans="60:74" ht="12.75"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</row>
    <row r="1674" spans="60:74" ht="12.75"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</row>
    <row r="1675" spans="60:74" ht="12.75"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</row>
    <row r="1676" spans="60:74" ht="12.75"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</row>
    <row r="1677" spans="60:74" ht="12.75"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</row>
    <row r="1678" spans="60:74" ht="12.75"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</row>
    <row r="1679" spans="60:74" ht="12.75"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</row>
    <row r="1680" spans="60:74" ht="12.75"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</row>
    <row r="1681" spans="60:74" ht="12.75"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</row>
    <row r="1682" spans="60:74" ht="12.75"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</row>
    <row r="1683" spans="60:74" ht="12.75"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</row>
    <row r="1684" spans="60:74" ht="12.75"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</row>
    <row r="1685" spans="60:74" ht="12.75"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</row>
    <row r="1686" spans="60:74" ht="12.75"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</row>
    <row r="1687" spans="60:74" ht="12.75"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</row>
    <row r="1688" spans="60:74" ht="12.75"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</row>
    <row r="1689" spans="60:74" ht="12.75"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</row>
    <row r="1690" spans="60:74" ht="12.75"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</row>
    <row r="1691" spans="60:74" ht="12.75"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</row>
    <row r="1692" spans="60:74" ht="12.75"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</row>
    <row r="1693" spans="60:74" ht="12.75"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</row>
    <row r="1694" spans="60:74" ht="12.75"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</row>
    <row r="1695" spans="60:74" ht="12.75"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</row>
    <row r="1696" spans="60:74" ht="12.75"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</row>
    <row r="1697" spans="60:74" ht="12.75"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</row>
    <row r="1698" spans="60:74" ht="12.75"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</row>
    <row r="1699" spans="60:74" ht="12.75"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</row>
    <row r="1700" spans="60:74" ht="12.75"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</row>
    <row r="1701" spans="60:74" ht="12.75"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</row>
    <row r="1702" spans="60:74" ht="12.75"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</row>
    <row r="1703" spans="60:74" ht="12.75"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</row>
    <row r="1704" spans="60:74" ht="12.75"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</row>
    <row r="1705" spans="60:74" ht="12.75"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</row>
    <row r="1706" spans="60:74" ht="12.75"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</row>
    <row r="1707" spans="60:74" ht="12.75"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</row>
    <row r="1708" spans="60:74" ht="12.75"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</row>
    <row r="1709" spans="60:74" ht="12.75"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</row>
    <row r="1710" spans="60:74" ht="12.75"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</row>
    <row r="1711" spans="60:74" ht="12.75"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</row>
    <row r="1712" spans="60:74" ht="12.75"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</row>
    <row r="1713" spans="60:74" ht="12.75"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</row>
    <row r="1714" spans="60:74" ht="12.75"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</row>
    <row r="1715" spans="60:74" ht="12.75"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</row>
    <row r="1716" spans="60:74" ht="12.75"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</row>
    <row r="1717" spans="60:74" ht="12.75"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</row>
    <row r="1718" spans="60:74" ht="12.75"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</row>
    <row r="1719" spans="60:74" ht="12.75"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</row>
    <row r="1720" spans="60:74" ht="12.75"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</row>
    <row r="1721" spans="60:74" ht="12.75"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</row>
    <row r="1722" spans="60:74" ht="12.75"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</row>
    <row r="1723" spans="60:74" ht="12.75"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</row>
    <row r="1724" spans="60:74" ht="12.75"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</row>
    <row r="1725" spans="60:74" ht="12.75"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</row>
    <row r="1726" spans="60:74" ht="12.75"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</row>
    <row r="1727" spans="60:74" ht="12.75"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</row>
    <row r="1728" spans="60:74" ht="12.75"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</row>
    <row r="1729" spans="60:74" ht="12.75"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</row>
    <row r="1730" spans="60:74" ht="12.75"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</row>
    <row r="1731" spans="60:74" ht="12.75"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</row>
    <row r="1732" spans="60:74" ht="12.75"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</row>
    <row r="1733" spans="60:74" ht="12.75"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</row>
    <row r="1734" spans="60:74" ht="12.75"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</row>
    <row r="1735" spans="60:74" ht="12.75"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</row>
    <row r="1736" spans="60:74" ht="12.75"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</row>
    <row r="1737" spans="60:74" ht="12.75"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</row>
    <row r="1738" spans="60:74" ht="12.75"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</row>
    <row r="1739" spans="60:74" ht="12.75"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</row>
    <row r="1740" spans="60:74" ht="12.75"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</row>
    <row r="1741" spans="60:74" ht="12.75"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</row>
    <row r="1742" spans="60:74" ht="12.75"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</row>
    <row r="1743" spans="60:74" ht="12.75"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</row>
    <row r="1744" spans="60:74" ht="12.75"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</row>
    <row r="1745" spans="60:74" ht="12.75"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</row>
    <row r="1746" spans="60:74" ht="12.75"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</row>
    <row r="1747" spans="60:74" ht="12.75"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</row>
    <row r="1748" spans="60:74" ht="12.75"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</row>
    <row r="1749" spans="60:74" ht="12.75"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</row>
    <row r="1750" spans="60:74" ht="12.75"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</row>
    <row r="1751" spans="60:74" ht="12.75"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</row>
    <row r="1752" spans="60:74" ht="12.75"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</row>
    <row r="1753" spans="60:74" ht="12.75"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</row>
    <row r="1754" spans="60:74" ht="12.75"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</row>
    <row r="1755" spans="60:74" ht="12.75"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</row>
    <row r="1756" spans="60:74" ht="12.75"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</row>
    <row r="1757" spans="60:74" ht="12.75"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</row>
    <row r="1758" spans="60:74" ht="12.75"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</row>
    <row r="1759" spans="60:74" ht="12.75"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</row>
    <row r="1760" spans="60:74" ht="12.75"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</row>
    <row r="1761" spans="60:74" ht="12.75"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</row>
    <row r="1762" spans="60:74" ht="12.75"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</row>
    <row r="1763" spans="60:74" ht="12.75"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</row>
    <row r="1764" spans="60:74" ht="12.75"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</row>
    <row r="1765" spans="60:74" ht="12.75"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</row>
    <row r="1766" spans="60:74" ht="12.75"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</row>
    <row r="1767" spans="60:74" ht="12.75"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</row>
    <row r="1768" spans="60:74" ht="12.75"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</row>
    <row r="1769" spans="60:74" ht="12.75"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</row>
    <row r="1770" spans="60:74" ht="12.75"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</row>
    <row r="1771" spans="60:74" ht="12.75"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</row>
    <row r="1772" spans="60:74" ht="12.75"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</row>
    <row r="1773" spans="60:74" ht="12.75"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</row>
    <row r="1774" spans="60:74" ht="12.75"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</row>
    <row r="1775" spans="60:74" ht="12.75"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</row>
    <row r="1776" spans="60:74" ht="12.75"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</row>
    <row r="1777" spans="60:74" ht="12.75"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</row>
    <row r="1778" spans="60:74" ht="12.75"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</row>
    <row r="1779" spans="60:74" ht="12.75"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</row>
    <row r="1780" spans="60:74" ht="12.75"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</row>
    <row r="1781" spans="60:74" ht="12.75"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</row>
    <row r="1782" spans="60:74" ht="12.75"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</row>
    <row r="1783" spans="60:74" ht="12.75"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</row>
    <row r="1784" spans="60:74" ht="12.75"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</row>
    <row r="1785" spans="60:74" ht="12.75"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</row>
    <row r="1786" spans="60:74" ht="12.75"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</row>
    <row r="1787" spans="60:74" ht="12.75"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</row>
    <row r="1788" spans="60:74" ht="12.75"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</row>
    <row r="1789" spans="60:74" ht="12.75"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</row>
    <row r="1790" spans="60:74" ht="12.75"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</row>
    <row r="1791" spans="60:74" ht="12.75"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</row>
    <row r="1792" spans="60:74" ht="12.75"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</row>
    <row r="1793" spans="60:74" ht="12.75"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</row>
    <row r="1794" spans="60:74" ht="12.75"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</row>
    <row r="1795" spans="60:74" ht="12.75"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</row>
    <row r="1796" spans="60:74" ht="12.75"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</row>
    <row r="1797" spans="60:74" ht="12.75"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</row>
    <row r="1798" spans="60:74" ht="12.75"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</row>
    <row r="1799" spans="60:74" ht="12.75"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</row>
    <row r="1800" spans="60:74" ht="12.75"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</row>
    <row r="1801" spans="60:74" ht="12.75"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</row>
    <row r="1802" spans="60:74" ht="12.75"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</row>
    <row r="1803" spans="60:74" ht="12.75"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</row>
    <row r="1804" spans="60:74" ht="12.75"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</row>
    <row r="1805" spans="60:74" ht="12.75"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</row>
    <row r="1806" spans="60:74" ht="12.75"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</row>
    <row r="1807" spans="60:74" ht="12.75"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</row>
    <row r="1808" spans="60:74" ht="12.75"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</row>
    <row r="1809" spans="60:74" ht="12.75"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</row>
    <row r="1810" spans="60:74" ht="12.75"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</row>
    <row r="1811" spans="60:74" ht="12.75"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</row>
    <row r="1812" spans="60:74" ht="12.75"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</row>
    <row r="1813" spans="60:74" ht="12.75"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</row>
    <row r="1814" spans="60:74" ht="12.75"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</row>
    <row r="1815" spans="60:74" ht="12.75"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</row>
    <row r="1816" spans="60:74" ht="12.75"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</row>
    <row r="1817" spans="60:74" ht="12.75"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</row>
    <row r="1818" spans="60:74" ht="12.75"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</row>
    <row r="1819" spans="60:74" ht="12.75"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</row>
    <row r="1820" spans="60:74" ht="12.75"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</row>
    <row r="1821" spans="60:74" ht="12.75"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</row>
    <row r="1822" spans="60:74" ht="12.75"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</row>
    <row r="1823" spans="60:74" ht="12.75"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</row>
    <row r="1824" spans="60:74" ht="12.75"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</row>
    <row r="1825" spans="60:74" ht="12.75"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</row>
    <row r="1826" spans="60:74" ht="12.75"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</row>
    <row r="1827" spans="60:74" ht="12.75"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</row>
    <row r="1828" spans="60:74" ht="12.75"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</row>
    <row r="1829" spans="60:74" ht="12.75"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</row>
    <row r="1830" spans="60:74" ht="12.75"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</row>
    <row r="1831" spans="60:74" ht="12.75"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</row>
    <row r="1832" spans="60:74" ht="12.75"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</row>
    <row r="1833" spans="60:74" ht="12.75"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</row>
    <row r="1834" spans="60:74" ht="12.75"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</row>
    <row r="1835" spans="60:74" ht="12.75"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</row>
    <row r="1836" spans="60:74" ht="12.75"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</row>
    <row r="1837" spans="60:74" ht="12.75"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</row>
    <row r="1838" spans="60:74" ht="12.75"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</row>
    <row r="1839" spans="60:74" ht="12.75"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</row>
    <row r="1840" spans="60:74" ht="12.75"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</row>
    <row r="1841" spans="60:74" ht="12.75"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</row>
    <row r="1842" spans="60:74" ht="12.75"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</row>
    <row r="1843" spans="60:74" ht="12.75"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</row>
    <row r="1844" spans="60:74" ht="12.75"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</row>
    <row r="1845" spans="60:74" ht="12.75"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</row>
    <row r="1846" spans="60:74" ht="12.75"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</row>
    <row r="1847" spans="60:74" ht="12.75"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</row>
    <row r="1848" spans="60:74" ht="12.75"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</row>
    <row r="1849" spans="60:74" ht="12.75"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</row>
    <row r="1850" spans="60:74" ht="12.75"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</row>
    <row r="1851" spans="60:74" ht="12.75"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</row>
    <row r="1852" spans="60:74" ht="12.75"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</row>
    <row r="1853" spans="60:74" ht="12.75"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</row>
    <row r="1854" spans="60:74" ht="12.75"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</row>
    <row r="1855" spans="60:74" ht="12.75"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</row>
    <row r="1856" spans="60:74" ht="12.75"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</row>
    <row r="1857" spans="60:74" ht="12.75"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</row>
    <row r="1858" spans="60:74" ht="12.75"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</row>
    <row r="1859" spans="60:74" ht="12.75"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</row>
    <row r="1860" spans="60:74" ht="12.75"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</row>
    <row r="1861" spans="60:74" ht="12.75"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</row>
    <row r="1862" spans="60:74" ht="12.75"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</row>
    <row r="1863" spans="60:74" ht="12.75"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</row>
    <row r="1864" spans="60:74" ht="12.75"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</row>
    <row r="1865" spans="60:74" ht="12.75"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</row>
    <row r="1866" spans="60:74" ht="12.75"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</row>
    <row r="1867" spans="60:74" ht="12.75"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</row>
    <row r="1868" spans="60:74" ht="12.75"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</row>
    <row r="1869" spans="60:74" ht="12.75"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</row>
    <row r="1870" spans="60:74" ht="12.75"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</row>
    <row r="1871" spans="60:74" ht="12.75"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</row>
    <row r="1872" spans="60:74" ht="12.75"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</row>
    <row r="1873" spans="60:74" ht="12.75"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</row>
    <row r="1874" spans="60:74" ht="12.75"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</row>
    <row r="1875" spans="60:74" ht="12.75"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</row>
    <row r="1876" spans="60:74" ht="12.75"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</row>
    <row r="1877" spans="60:74" ht="12.75"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</row>
    <row r="1878" spans="60:74" ht="12.75"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</row>
    <row r="1879" spans="60:74" ht="12.75"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</row>
    <row r="1880" spans="60:74" ht="12.75"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</row>
    <row r="1881" spans="60:74" ht="12.75"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</row>
    <row r="1882" spans="60:74" ht="12.75"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</row>
    <row r="1883" spans="60:74" ht="12.75"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</row>
    <row r="1884" spans="60:74" ht="12.75"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</row>
    <row r="1885" spans="60:74" ht="12.75"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</row>
    <row r="1886" spans="60:74" ht="12.75"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</row>
    <row r="1887" spans="60:74" ht="12.75"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</row>
    <row r="1888" spans="60:74" ht="12.75"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</row>
    <row r="1889" spans="60:74" ht="12.75"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</row>
    <row r="1890" spans="60:74" ht="12.75"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</row>
    <row r="1891" spans="60:74" ht="12.75"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</row>
    <row r="1892" spans="60:74" ht="12.75"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</row>
    <row r="1893" spans="60:74" ht="12.75"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</row>
    <row r="1894" spans="60:74" ht="12.75"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</row>
    <row r="1895" spans="60:74" ht="12.75"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</row>
    <row r="1896" spans="60:74" ht="12.75"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</row>
    <row r="1897" spans="60:74" ht="12.75"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</row>
    <row r="1898" spans="60:74" ht="12.75"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</row>
    <row r="1899" spans="60:74" ht="12.75"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</row>
    <row r="1900" spans="60:74" ht="12.75"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</row>
    <row r="1901" spans="60:74" ht="12.75"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</row>
    <row r="1902" spans="60:74" ht="12.75"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</row>
    <row r="1903" spans="60:74" ht="12.75"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</row>
    <row r="1904" spans="60:74" ht="12.75"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</row>
    <row r="1905" spans="60:74" ht="12.75"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</row>
    <row r="1906" spans="60:74" ht="12.75"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</row>
    <row r="1907" spans="60:74" ht="12.75"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</row>
    <row r="1908" spans="60:74" ht="12.75"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</row>
    <row r="1909" spans="60:74" ht="12.75"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</row>
    <row r="1910" spans="60:74" ht="12.75"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</row>
    <row r="1911" spans="60:74" ht="12.75"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</row>
    <row r="1912" spans="60:74" ht="12.75"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</row>
    <row r="1913" spans="60:74" ht="12.75"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</row>
    <row r="1914" spans="60:74" ht="12.75"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</row>
    <row r="1915" spans="60:74" ht="12.75"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</row>
    <row r="1916" spans="60:74" ht="12.75"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</row>
    <row r="1917" spans="60:74" ht="12.75"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</row>
    <row r="1918" spans="60:74" ht="12.75"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</row>
    <row r="1919" spans="60:74" ht="12.75"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</row>
    <row r="1920" spans="60:74" ht="12.75"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</row>
    <row r="1921" spans="60:74" ht="12.75"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</row>
    <row r="1922" spans="60:74" ht="12.75"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</row>
    <row r="1923" spans="60:74" ht="12.75"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</row>
    <row r="1924" spans="60:74" ht="12.75"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</row>
    <row r="1925" spans="60:74" ht="12.75"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</row>
    <row r="1926" spans="60:74" ht="12.75"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</row>
    <row r="1927" spans="60:74" ht="12.75"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</row>
    <row r="1928" spans="60:74" ht="12.75"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</row>
    <row r="1929" spans="60:74" ht="12.75"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</row>
    <row r="1930" spans="60:74" ht="12.75"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</row>
    <row r="1931" spans="60:74" ht="12.75"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</row>
    <row r="1932" spans="60:74" ht="12.75"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</row>
    <row r="1933" spans="60:74" ht="12.75"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</row>
    <row r="1934" spans="60:74" ht="12.75"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</row>
    <row r="1935" spans="60:74" ht="12.75"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</row>
    <row r="1936" spans="60:74" ht="12.75"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</row>
    <row r="1937" spans="60:74" ht="12.75"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</row>
    <row r="1938" spans="60:74" ht="12.75"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</row>
    <row r="1939" spans="60:74" ht="12.75"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</row>
    <row r="1940" spans="60:74" ht="12.75"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</row>
    <row r="1941" spans="60:74" ht="12.75"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</row>
    <row r="1942" spans="60:74" ht="12.75"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</row>
    <row r="1943" spans="60:74" ht="12.75"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</row>
    <row r="1944" spans="60:74" ht="12.75"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</row>
    <row r="1945" spans="60:74" ht="12.75"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</row>
    <row r="1946" spans="60:74" ht="12.75"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</row>
    <row r="1947" spans="60:74" ht="12.75"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</row>
    <row r="1948" spans="60:74" ht="12.75"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</row>
    <row r="1949" spans="60:74" ht="12.75"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</row>
    <row r="1950" spans="60:74" ht="12.75"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</row>
    <row r="1951" spans="60:74" ht="12.75"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</row>
    <row r="1952" spans="60:74" ht="12.75"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</row>
    <row r="1953" spans="60:74" ht="12.75"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</row>
    <row r="1954" spans="60:74" ht="12.75"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</row>
    <row r="1955" spans="60:74" ht="12.75"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</row>
    <row r="1956" spans="60:74" ht="12.75"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</row>
    <row r="1957" spans="60:74" ht="12.75"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</row>
    <row r="1958" spans="60:74" ht="12.75"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</row>
    <row r="1959" spans="60:74" ht="12.75"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</row>
    <row r="1960" spans="60:74" ht="12.75"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</row>
    <row r="1961" spans="60:74" ht="12.75"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</row>
    <row r="1962" spans="60:74" ht="12.75"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</row>
    <row r="1963" spans="60:74" ht="12.75"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</row>
    <row r="1964" spans="60:74" ht="12.75"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</row>
    <row r="1965" spans="60:74" ht="12.75"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</row>
    <row r="1966" spans="60:74" ht="12.75"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</row>
    <row r="1967" spans="60:74" ht="12.75"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</row>
    <row r="1968" spans="60:74" ht="12.75"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</row>
    <row r="1969" spans="60:74" ht="12.75"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</row>
    <row r="1970" spans="60:74" ht="12.75"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</row>
    <row r="1971" spans="60:74" ht="12.75"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</row>
    <row r="1972" spans="60:74" ht="12.75"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</row>
    <row r="1973" spans="60:74" ht="12.75"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</row>
    <row r="1974" spans="60:74" ht="12.75"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</row>
    <row r="1975" spans="60:74" ht="12.75"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</row>
    <row r="1976" spans="60:74" ht="12.75"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</row>
    <row r="1977" spans="60:74" ht="12.75"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</row>
    <row r="1978" spans="60:74" ht="12.75"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</row>
    <row r="1979" spans="60:74" ht="12.75"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</row>
    <row r="1980" spans="60:74" ht="12.75"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</row>
    <row r="1981" spans="60:74" ht="12.75"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</row>
    <row r="1982" spans="60:74" ht="12.75"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</row>
    <row r="1983" spans="60:74" ht="12.75"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</row>
    <row r="1984" spans="60:74" ht="12.75"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</row>
    <row r="1985" spans="60:74" ht="12.75"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</row>
    <row r="1986" spans="60:74" ht="12.75"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</row>
    <row r="1987" spans="60:74" ht="12.75"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</row>
    <row r="1988" spans="60:74" ht="12.75"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</row>
    <row r="1989" spans="60:74" ht="12.75"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</row>
    <row r="1990" spans="60:74" ht="12.75"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</row>
    <row r="1991" spans="60:74" ht="12.75"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</row>
    <row r="1992" spans="60:74" ht="12.75"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</row>
    <row r="1993" spans="60:74" ht="12.75"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</row>
    <row r="1994" spans="60:74" ht="12.75"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</row>
    <row r="1995" spans="60:74" ht="12.75"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</row>
    <row r="1996" spans="60:74" ht="12.75"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</row>
    <row r="1997" spans="60:74" ht="12.75"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</row>
    <row r="1998" spans="60:74" ht="12.75"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</row>
    <row r="1999" spans="60:74" ht="12.75"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</row>
    <row r="2000" spans="60:74" ht="12.75"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</row>
    <row r="2001" spans="60:74" ht="12.75"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</row>
    <row r="2002" spans="60:74" ht="12.75"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</row>
    <row r="2003" spans="60:74" ht="12.75"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</row>
    <row r="2004" spans="60:74" ht="12.75"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</row>
    <row r="2005" spans="60:74" ht="12.75"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</row>
    <row r="2006" spans="60:74" ht="12.75"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</row>
    <row r="2007" spans="60:74" ht="12.75"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</row>
    <row r="2008" spans="60:74" ht="12.75"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</row>
    <row r="2009" spans="60:74" ht="12.75"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</row>
    <row r="2010" spans="60:74" ht="12.75"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</row>
    <row r="2011" spans="60:74" ht="12.75"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</row>
    <row r="2012" spans="60:74" ht="12.75"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</row>
    <row r="2013" spans="60:74" ht="12.75"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</row>
    <row r="2014" spans="60:74" ht="12.75"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</row>
    <row r="2015" spans="60:74" ht="12.75"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</row>
    <row r="2016" spans="60:74" ht="12.75"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</row>
    <row r="2017" spans="60:74" ht="12.75"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</row>
    <row r="2018" spans="60:74" ht="12.75"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</row>
    <row r="2019" spans="60:74" ht="12.75"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</row>
    <row r="2020" spans="60:74" ht="12.75"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</row>
    <row r="2021" spans="60:74" ht="12.75"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</row>
    <row r="2022" spans="60:74" ht="12.75"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</row>
    <row r="2023" spans="60:74" ht="12.75"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</row>
    <row r="2024" spans="60:74" ht="12.75"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</row>
    <row r="2025" spans="60:74" ht="12.75"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</row>
    <row r="2026" spans="60:74" ht="12.75"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</row>
    <row r="2027" spans="60:74" ht="12.75"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</row>
    <row r="2028" spans="60:74" ht="12.75"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</row>
    <row r="2029" spans="60:74" ht="12.75"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</row>
    <row r="2030" spans="60:74" ht="12.75"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</row>
    <row r="2031" spans="60:74" ht="12.75"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</row>
    <row r="2032" spans="60:74" ht="12.75"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</row>
    <row r="2033" spans="60:74" ht="12.75"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</row>
    <row r="2034" spans="60:74" ht="12.75"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</row>
    <row r="2035" spans="60:74" ht="12.75"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</row>
    <row r="2036" spans="60:74" ht="12.75"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</row>
    <row r="2037" spans="60:74" ht="12.75"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</row>
    <row r="2038" spans="60:74" ht="12.75"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</row>
    <row r="2039" spans="60:74" ht="12.75"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</row>
    <row r="2040" spans="60:74" ht="12.75"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</row>
    <row r="2041" spans="60:74" ht="12.75"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</row>
    <row r="2042" spans="60:74" ht="12.75"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</row>
    <row r="2043" spans="60:74" ht="12.75"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</row>
    <row r="2044" spans="60:74" ht="12.75"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</row>
    <row r="2045" spans="60:74" ht="12.75"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</row>
    <row r="2046" spans="60:74" ht="12.75"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</row>
    <row r="2047" spans="60:74" ht="12.75"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</row>
    <row r="2048" spans="60:74" ht="12.75"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</row>
    <row r="2049" spans="60:74" ht="12.75"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</row>
    <row r="2050" spans="60:74" ht="12.75"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</row>
    <row r="2051" spans="60:74" ht="12.75"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</row>
    <row r="2052" spans="60:74" ht="12.75"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</row>
    <row r="2053" spans="60:74" ht="12.75"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</row>
    <row r="2054" spans="60:74" ht="12.75"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</row>
    <row r="2055" spans="60:74" ht="12.75"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</row>
    <row r="2056" spans="60:74" ht="12.75"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</row>
    <row r="2057" spans="60:74" ht="12.75"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</row>
    <row r="2058" spans="60:74" ht="12.75"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</row>
    <row r="2059" spans="60:74" ht="12.75"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</row>
    <row r="2060" spans="60:74" ht="12.75"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</row>
    <row r="2061" spans="60:74" ht="12.75"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</row>
    <row r="2062" spans="60:74" ht="12.75"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</row>
    <row r="2063" spans="60:74" ht="12.75"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</row>
    <row r="2064" spans="60:74" ht="12.75"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</row>
    <row r="2065" spans="60:74" ht="12.75"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</row>
    <row r="2066" spans="60:74" ht="12.75"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</row>
    <row r="2067" spans="60:74" ht="12.75"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</row>
    <row r="2068" spans="60:74" ht="12.75"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</row>
    <row r="2069" spans="60:74" ht="12.75"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</row>
    <row r="2070" spans="60:74" ht="12.75"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</row>
    <row r="2071" spans="60:74" ht="12.75"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</row>
    <row r="2072" spans="60:74" ht="12.75"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</row>
    <row r="2073" spans="60:74" ht="12.75"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</row>
    <row r="2074" spans="60:74" ht="12.75"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</row>
    <row r="2075" spans="60:74" ht="12.75"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</row>
    <row r="2076" spans="60:74" ht="12.75"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</row>
    <row r="2077" spans="60:74" ht="12.75"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</row>
    <row r="2078" spans="60:74" ht="12.75"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</row>
    <row r="2079" spans="60:74" ht="12.75"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</row>
    <row r="2080" spans="60:74" ht="12.75"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</row>
    <row r="2081" spans="60:74" ht="12.75"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</row>
    <row r="2082" spans="60:74" ht="12.75"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</row>
    <row r="2083" spans="60:74" ht="12.75"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</row>
    <row r="2084" spans="60:74" ht="12.75"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</row>
    <row r="2085" spans="60:74" ht="12.75"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</row>
    <row r="2086" spans="60:74" ht="12.75"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</row>
    <row r="2087" spans="60:74" ht="12.75"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</row>
    <row r="2088" spans="60:74" ht="12.75"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</row>
    <row r="2089" spans="60:74" ht="12.75"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</row>
    <row r="2090" spans="60:74" ht="12.75"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</row>
    <row r="2091" spans="60:74" ht="12.75"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</row>
    <row r="2092" spans="60:74" ht="12.75"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</row>
    <row r="2093" spans="60:74" ht="12.75"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</row>
    <row r="2094" spans="60:74" ht="12.75"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</row>
    <row r="2095" spans="60:74" ht="12.75"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</row>
    <row r="2096" spans="60:74" ht="12.75"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</row>
    <row r="2097" spans="60:74" ht="12.75"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</row>
    <row r="2098" spans="60:74" ht="12.75"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</row>
    <row r="2099" spans="60:74" ht="12.75"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</row>
    <row r="2100" spans="60:74" ht="12.75"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</row>
    <row r="2101" spans="60:74" ht="12.75"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</row>
    <row r="2102" spans="60:74" ht="12.75"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</row>
    <row r="2103" spans="60:74" ht="12.75"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</row>
    <row r="2104" spans="60:74" ht="12.75"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</row>
    <row r="2105" spans="60:74" ht="12.75"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</row>
    <row r="2106" spans="60:74" ht="12.75"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</row>
    <row r="2107" spans="60:74" ht="12.75"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</row>
    <row r="2108" spans="60:74" ht="12.75"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</row>
    <row r="2109" spans="60:74" ht="12.75"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</row>
    <row r="2110" spans="60:74" ht="12.75"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</row>
    <row r="2111" spans="60:74" ht="12.75"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</row>
    <row r="2112" spans="60:74" ht="12.75"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</row>
    <row r="2113" spans="60:74" ht="12.75"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</row>
    <row r="2114" spans="60:74" ht="12.75"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</row>
    <row r="2115" spans="60:74" ht="12.75"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</row>
    <row r="2116" spans="60:74" ht="12.75"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</row>
    <row r="2117" spans="60:74" ht="12.75"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</row>
    <row r="2118" spans="60:74" ht="12.75"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</row>
    <row r="2119" spans="60:74" ht="12.75"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</row>
    <row r="2120" spans="60:74" ht="12.75"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</row>
    <row r="2121" spans="60:74" ht="12.75"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</row>
    <row r="2122" spans="60:74" ht="12.75"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</row>
    <row r="2123" spans="60:74" ht="12.75"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</row>
    <row r="2124" spans="60:74" ht="12.75"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</row>
    <row r="2125" spans="60:74" ht="12.75"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</row>
    <row r="2126" spans="60:74" ht="12.75"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</row>
    <row r="2127" spans="60:74" ht="12.75"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</row>
    <row r="2128" spans="60:74" ht="12.75"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</row>
    <row r="2129" spans="60:74" ht="12.75"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</row>
    <row r="2130" spans="60:74" ht="12.75"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</row>
    <row r="2131" spans="60:74" ht="12.75"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</row>
    <row r="2132" spans="60:74" ht="12.75"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</row>
    <row r="2133" spans="60:74" ht="12.75"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</row>
    <row r="2134" spans="60:74" ht="12.75"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</row>
    <row r="2135" spans="60:74" ht="12.75"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</row>
    <row r="2136" spans="60:74" ht="12.75"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</row>
    <row r="2137" spans="60:74" ht="12.75"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</row>
    <row r="2138" spans="60:74" ht="12.75"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</row>
    <row r="2139" spans="60:74" ht="12.75"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</row>
    <row r="2140" spans="60:74" ht="12.75"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</row>
    <row r="2141" spans="60:74" ht="12.75"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</row>
    <row r="2142" spans="60:74" ht="12.75"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</row>
    <row r="2143" spans="60:74" ht="12.75"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</row>
    <row r="2144" spans="60:74" ht="12.75"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</row>
    <row r="2145" spans="60:74" ht="12.75"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</row>
    <row r="2146" spans="60:74" ht="12.75"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</row>
    <row r="2147" spans="60:74" ht="12.75"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</row>
    <row r="2148" spans="60:74" ht="12.75"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</row>
    <row r="2149" spans="60:74" ht="12.75"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</row>
    <row r="2150" spans="60:74" ht="12.75"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</row>
    <row r="2151" spans="60:74" ht="12.75"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</row>
    <row r="2152" spans="60:74" ht="12.75"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</row>
    <row r="2153" spans="60:74" ht="12.75"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</row>
    <row r="2154" spans="60:74" ht="12.75"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</row>
    <row r="2155" spans="60:74" ht="12.75"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</row>
    <row r="2156" spans="60:74" ht="12.75"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</row>
    <row r="2157" spans="60:74" ht="12.75"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</row>
    <row r="2158" spans="60:74" ht="12.75"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</row>
    <row r="2159" spans="60:74" ht="12.75"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</row>
    <row r="2160" spans="60:74" ht="12.75"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</row>
    <row r="2161" spans="60:74" ht="12.75"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</row>
    <row r="2162" spans="60:74" ht="12.75"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</row>
    <row r="2163" spans="60:74" ht="12.75"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</row>
    <row r="2164" spans="60:74" ht="12.75"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</row>
    <row r="2165" spans="60:74" ht="12.75"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</row>
    <row r="2166" spans="60:74" ht="12.75"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</row>
    <row r="2167" spans="60:74" ht="12.75"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</row>
    <row r="2168" spans="60:74" ht="12.75"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</row>
    <row r="2169" spans="60:74" ht="12.75"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</row>
    <row r="2170" spans="60:74" ht="12.75"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</row>
    <row r="2171" spans="60:74" ht="12.75"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</row>
    <row r="2172" spans="60:74" ht="12.75"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</row>
    <row r="2173" spans="60:74" ht="12.75"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</row>
    <row r="2174" spans="60:74" ht="12.75"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</row>
    <row r="2175" spans="60:74" ht="12.75"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</row>
    <row r="2176" spans="60:74" ht="12.75"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</row>
    <row r="2177" spans="60:74" ht="12.75"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</row>
    <row r="2178" spans="60:74" ht="12.75"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</row>
    <row r="2179" spans="60:74" ht="12.75"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</row>
    <row r="2180" spans="60:74" ht="12.75"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</row>
    <row r="2181" spans="60:74" ht="12.75"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</row>
    <row r="2182" spans="60:74" ht="12.75"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</row>
    <row r="2183" spans="60:74" ht="12.75"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</row>
    <row r="2184" spans="60:74" ht="12.75"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</row>
    <row r="2185" spans="60:74" ht="12.75"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</row>
    <row r="2186" spans="60:74" ht="12.75"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</row>
    <row r="2187" spans="60:74" ht="12.75"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</row>
    <row r="2188" spans="60:74" ht="12.75"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</row>
    <row r="2189" spans="60:74" ht="12.75"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</row>
    <row r="2190" spans="60:74" ht="12.75"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</row>
    <row r="2191" spans="60:74" ht="12.75"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</row>
    <row r="2192" spans="60:74" ht="12.75"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</row>
    <row r="2193" spans="60:74" ht="12.75"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</row>
    <row r="2194" spans="60:74" ht="12.75"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</row>
    <row r="2195" spans="60:74" ht="12.75"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</row>
    <row r="2196" spans="60:74" ht="12.75"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</row>
    <row r="2197" spans="60:74" ht="12.75"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</row>
    <row r="2198" spans="60:74" ht="12.75"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</row>
    <row r="2199" spans="60:74" ht="12.75"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</row>
    <row r="2200" spans="60:74" ht="12.75"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</row>
    <row r="2201" spans="60:74" ht="12.75"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</row>
    <row r="2202" spans="60:74" ht="12.75"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</row>
    <row r="2203" spans="60:74" ht="12.75"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</row>
    <row r="2204" spans="60:74" ht="12.75"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</row>
    <row r="2205" spans="60:74" ht="12.75"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</row>
    <row r="2206" spans="60:74" ht="12.75"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</row>
    <row r="2207" spans="60:74" ht="12.75"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</row>
    <row r="2208" spans="60:74" ht="12.75"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</row>
    <row r="2209" spans="60:74" ht="12.75"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</row>
    <row r="2210" spans="60:74" ht="12.75"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</row>
    <row r="2211" spans="60:74" ht="12.75"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</row>
    <row r="2212" spans="60:74" ht="12.75"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</row>
    <row r="2213" spans="60:74" ht="12.75"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</row>
    <row r="2214" spans="60:74" ht="12.75"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</row>
    <row r="2215" spans="60:74" ht="12.75"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</row>
    <row r="2216" spans="60:74" ht="12.75"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</row>
    <row r="2217" spans="60:74" ht="12.75"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</row>
    <row r="2218" spans="60:74" ht="12.75"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</row>
    <row r="2219" spans="60:74" ht="12.75"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</row>
    <row r="2220" spans="60:74" ht="12.75"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</row>
    <row r="2221" spans="60:74" ht="12.75"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</row>
    <row r="2222" spans="60:74" ht="12.75"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</row>
    <row r="2223" spans="60:74" ht="12.75"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</row>
    <row r="2224" spans="60:74" ht="12.75"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</row>
    <row r="2225" spans="60:74" ht="12.75"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</row>
    <row r="2226" spans="60:74" ht="12.75"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</row>
    <row r="2227" spans="60:74" ht="12.75"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</row>
    <row r="2228" spans="60:74" ht="12.75"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</row>
    <row r="2229" spans="60:74" ht="12.75"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</row>
    <row r="2230" spans="60:74" ht="12.75"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</row>
    <row r="2231" spans="60:74" ht="12.75"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</row>
    <row r="2232" spans="60:74" ht="12.75"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</row>
    <row r="2233" spans="60:74" ht="12.75"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</row>
    <row r="2234" spans="60:74" ht="12.75"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</row>
    <row r="2235" spans="60:74" ht="12.75"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</row>
    <row r="2236" spans="60:74" ht="12.75"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</row>
    <row r="2237" spans="60:74" ht="12.75"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</row>
    <row r="2238" spans="60:74" ht="12.75"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</row>
    <row r="2239" spans="60:74" ht="12.75"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</row>
    <row r="2240" spans="60:74" ht="12.75"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</row>
    <row r="2241" spans="60:74" ht="12.75"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</row>
    <row r="2242" spans="60:74" ht="12.75"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</row>
    <row r="2243" spans="60:74" ht="12.75"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</row>
    <row r="2244" spans="60:74" ht="12.75"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</row>
    <row r="2245" spans="60:74" ht="12.75"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</row>
    <row r="2246" spans="60:74" ht="12.75"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</row>
    <row r="2247" spans="60:74" ht="12.75"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</row>
    <row r="2248" spans="60:74" ht="12.75"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</row>
    <row r="2249" spans="60:74" ht="12.75"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</row>
    <row r="2250" spans="60:74" ht="12.75"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</row>
    <row r="2251" spans="60:74" ht="12.75"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</row>
    <row r="2252" spans="60:74" ht="12.75"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</row>
    <row r="2253" spans="60:74" ht="12.75"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</row>
    <row r="2254" spans="60:74" ht="12.75"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</row>
    <row r="2255" spans="60:74" ht="12.75"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</row>
    <row r="2256" spans="60:74" ht="12.75"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</row>
    <row r="2257" spans="60:74" ht="12.75"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</row>
    <row r="2258" spans="60:74" ht="12.75"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</row>
    <row r="2259" spans="60:74" ht="12.75"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</row>
    <row r="2260" spans="60:74" ht="12.75"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</row>
    <row r="2261" spans="60:74" ht="12.75"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</row>
    <row r="2262" spans="60:74" ht="12.75"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</row>
    <row r="2263" spans="60:74" ht="12.75"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</row>
    <row r="2264" spans="60:74" ht="12.75"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</row>
    <row r="2265" spans="60:74" ht="12.75"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</row>
    <row r="2266" spans="60:74" ht="12.75"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</row>
    <row r="2267" spans="60:74" ht="12.75"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</row>
    <row r="2268" spans="60:74" ht="12.75"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</row>
    <row r="2269" spans="60:74" ht="12.75"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</row>
    <row r="2270" spans="60:74" ht="12.75"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</row>
    <row r="2271" spans="60:74" ht="12.75"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</row>
    <row r="2272" spans="60:74" ht="12.75"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</row>
    <row r="2273" spans="60:74" ht="12.75"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</row>
    <row r="2274" spans="60:74" ht="12.75"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</row>
    <row r="2275" spans="60:74" ht="12.75"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</row>
    <row r="2276" spans="60:74" ht="12.75"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</row>
    <row r="2277" spans="60:74" ht="12.75"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</row>
    <row r="2278" spans="60:74" ht="12.75"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</row>
    <row r="2279" spans="60:74" ht="12.75"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</row>
    <row r="2280" spans="60:74" ht="12.75"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</row>
    <row r="2281" spans="60:74" ht="12.75"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</row>
    <row r="2282" spans="60:74" ht="12.75"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</row>
    <row r="2283" spans="60:74" ht="12.75"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</row>
    <row r="2284" spans="60:74" ht="12.75"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</row>
    <row r="2285" spans="60:74" ht="12.75"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</row>
    <row r="2286" spans="60:74" ht="12.75"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</row>
    <row r="2287" spans="60:74" ht="12.75"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</row>
    <row r="2288" spans="60:74" ht="12.75"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</row>
    <row r="2289" spans="60:74" ht="12.75"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</row>
    <row r="2290" spans="60:74" ht="12.75"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</row>
    <row r="2291" spans="60:74" ht="12.75"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</row>
    <row r="2292" spans="60:74" ht="12.75"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</row>
    <row r="2293" spans="60:74" ht="12.75"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</row>
    <row r="2294" spans="60:74" ht="12.75"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</row>
    <row r="2295" spans="60:74" ht="12.75"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</row>
    <row r="2296" spans="60:74" ht="12.75"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</row>
    <row r="2297" spans="60:74" ht="12.75"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</row>
    <row r="2298" spans="60:74" ht="12.75"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</row>
    <row r="2299" spans="60:74" ht="12.75"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</row>
    <row r="2300" spans="60:74" ht="12.75"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</row>
    <row r="2301" spans="60:74" ht="12.75"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</row>
    <row r="2302" spans="60:74" ht="12.75"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</row>
    <row r="2303" spans="60:74" ht="12.75"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</row>
    <row r="2304" spans="60:74" ht="12.75"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</row>
    <row r="2305" spans="60:74" ht="12.75"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</row>
    <row r="2306" spans="60:74" ht="12.75"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</row>
    <row r="2307" spans="60:74" ht="12.75"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</row>
    <row r="2308" spans="60:74" ht="12.75"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</row>
    <row r="2309" spans="60:74" ht="12.75"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</row>
    <row r="2310" spans="60:74" ht="12.75"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</row>
    <row r="2311" spans="60:74" ht="12.75"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</row>
    <row r="2312" spans="60:74" ht="12.75"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</row>
    <row r="2313" spans="60:74" ht="12.75"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</row>
    <row r="2314" spans="60:74" ht="12.75"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</row>
    <row r="2315" spans="60:74" ht="12.75"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</row>
    <row r="2316" spans="60:74" ht="12.75"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</row>
    <row r="2317" spans="60:74" ht="12.75"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</row>
    <row r="2318" spans="60:74" ht="12.75"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</row>
    <row r="2319" spans="60:74" ht="12.75"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</row>
    <row r="2320" spans="60:74" ht="12.75"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</row>
    <row r="2321" spans="60:74" ht="12.75"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</row>
    <row r="2322" spans="60:74" ht="12.75"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</row>
    <row r="2323" spans="60:74" ht="12.75"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</row>
    <row r="2324" spans="60:74" ht="12.75"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</row>
    <row r="2325" spans="60:74" ht="12.75"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</row>
    <row r="2326" spans="60:74" ht="12.75"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</row>
    <row r="2327" spans="60:74" ht="12.75"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</row>
    <row r="2328" spans="60:74" ht="12.75"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</row>
    <row r="2329" spans="60:74" ht="12.75"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</row>
    <row r="2330" spans="60:74" ht="12.75"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</row>
    <row r="2331" spans="60:74" ht="12.75"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</row>
    <row r="2332" spans="60:74" ht="12.75"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</row>
    <row r="2333" spans="60:74" ht="12.75"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</row>
    <row r="2334" spans="60:74" ht="12.75"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</row>
    <row r="2335" spans="60:74" ht="12.75"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</row>
    <row r="2336" spans="60:74" ht="12.75"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</row>
    <row r="2337" spans="60:74" ht="12.75"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</row>
    <row r="2338" spans="60:74" ht="12.75"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</row>
    <row r="2339" spans="60:74" ht="12.75"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</row>
    <row r="2340" spans="60:74" ht="12.75"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</row>
    <row r="2341" spans="60:74" ht="12.75"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</row>
    <row r="2342" spans="60:74" ht="12.75"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</row>
    <row r="2343" spans="60:74" ht="12.75"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</row>
    <row r="2344" spans="60:74" ht="12.75"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</row>
    <row r="2345" spans="60:74" ht="12.75"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</row>
    <row r="2346" spans="60:74" ht="12.75"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</row>
    <row r="2347" spans="60:74" ht="12.75"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</row>
    <row r="2348" spans="60:74" ht="12.75"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</row>
    <row r="2349" spans="60:74" ht="12.75"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</row>
    <row r="2350" spans="60:74" ht="12.75"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</row>
    <row r="2351" spans="60:74" ht="12.75"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</row>
    <row r="2352" spans="60:74" ht="12.75"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</row>
    <row r="2353" spans="60:74" ht="12.75"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</row>
    <row r="2354" spans="60:74" ht="12.75"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</row>
    <row r="2355" spans="60:74" ht="12.75"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</row>
    <row r="2356" spans="60:74" ht="12.75"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</row>
    <row r="2357" spans="60:74" ht="12.75"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</row>
    <row r="2358" spans="60:74" ht="12.75"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</row>
    <row r="2359" spans="60:74" ht="12.75"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</row>
    <row r="2360" spans="60:74" ht="12.75"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</row>
    <row r="2361" spans="60:74" ht="12.75"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</row>
    <row r="2362" spans="60:74" ht="12.75"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</row>
    <row r="2363" spans="60:74" ht="12.75"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</row>
    <row r="2364" spans="60:74" ht="12.75"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</row>
    <row r="2365" spans="60:74" ht="12.75"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</row>
    <row r="2366" spans="60:74" ht="12.75"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</row>
    <row r="2367" spans="60:74" ht="12.75"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</row>
    <row r="2368" spans="60:74" ht="12.75"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</row>
    <row r="2369" spans="60:74" ht="12.75"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</row>
    <row r="2370" spans="60:74" ht="12.75"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</row>
    <row r="2371" spans="60:74" ht="12.75"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</row>
    <row r="2372" spans="60:74" ht="12.75"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</row>
    <row r="2373" spans="60:74" ht="12.75"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</row>
    <row r="2374" spans="60:74" ht="12.75"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</row>
    <row r="2375" spans="60:74" ht="12.75"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</row>
    <row r="2376" spans="60:74" ht="12.75"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</row>
    <row r="2377" spans="60:74" ht="12.75"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</row>
    <row r="2378" spans="60:74" ht="12.75"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</row>
    <row r="2379" spans="60:74" ht="12.75"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</row>
    <row r="2380" spans="60:74" ht="12.75"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</row>
    <row r="2381" spans="60:74" ht="12.75"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</row>
    <row r="2382" spans="60:74" ht="12.75"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</row>
    <row r="2383" spans="60:74" ht="12.75"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</row>
    <row r="2384" spans="60:74" ht="12.75"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</row>
    <row r="2385" spans="60:74" ht="12.75"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</row>
    <row r="2386" spans="60:74" ht="12.75"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</row>
    <row r="2387" spans="60:74" ht="12.75"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</row>
    <row r="2388" spans="60:74" ht="12.75"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</row>
    <row r="2389" spans="60:74" ht="12.75"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</row>
    <row r="2390" spans="60:74" ht="12.75"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</row>
    <row r="2391" spans="60:74" ht="12.75"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</row>
    <row r="2392" spans="60:74" ht="12.75"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</row>
    <row r="2393" spans="60:74" ht="12.75"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</row>
    <row r="2394" spans="60:74" ht="12.75"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</row>
    <row r="2395" spans="60:74" ht="12.75"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</row>
    <row r="2396" spans="60:74" ht="12.75"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</row>
    <row r="2397" spans="60:74" ht="12.75"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</row>
    <row r="2398" spans="60:74" ht="12.75"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</row>
    <row r="2399" spans="60:74" ht="12.75"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</row>
    <row r="2400" spans="60:74" ht="12.75"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</row>
    <row r="2401" spans="60:74" ht="12.75"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</row>
    <row r="2402" spans="60:74" ht="12.75"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</row>
    <row r="2403" spans="60:74" ht="12.75"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</row>
    <row r="2404" spans="60:74" ht="12.75"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</row>
    <row r="2405" spans="60:74" ht="12.75"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</row>
    <row r="2406" spans="60:74" ht="12.75"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</row>
    <row r="2407" spans="60:74" ht="12.75"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</row>
    <row r="2408" spans="60:74" ht="12.75"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</row>
    <row r="2409" spans="60:74" ht="12.75"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</row>
    <row r="2410" spans="60:74" ht="12.75"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</row>
    <row r="2411" spans="60:74" ht="12.75"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</row>
    <row r="2412" spans="60:74" ht="12.75"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</row>
    <row r="2413" spans="60:74" ht="12.75"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</row>
    <row r="2414" spans="60:74" ht="12.75"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</row>
    <row r="2415" spans="60:74" ht="12.75"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</row>
    <row r="2416" spans="60:74" ht="12.75"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</row>
    <row r="2417" spans="60:74" ht="12.75"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</row>
    <row r="2418" spans="60:74" ht="12.75"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</row>
    <row r="2419" spans="60:74" ht="12.75"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</row>
    <row r="2420" spans="60:74" ht="12.75"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</row>
    <row r="2421" spans="60:74" ht="12.75"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</row>
    <row r="2422" spans="60:74" ht="12.75"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</row>
    <row r="2423" spans="60:74" ht="12.75"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</row>
    <row r="2424" spans="60:74" ht="12.75"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</row>
    <row r="2425" spans="60:74" ht="12.75"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</row>
    <row r="2426" spans="60:74" ht="12.75"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</row>
    <row r="2427" spans="60:74" ht="12.75"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</row>
    <row r="2428" spans="60:74" ht="12.75"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</row>
    <row r="2429" spans="60:74" ht="12.75"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</row>
    <row r="2430" spans="60:74" ht="12.75"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</row>
    <row r="2431" spans="60:74" ht="12.75"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</row>
    <row r="2432" spans="60:74" ht="12.75"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</row>
    <row r="2433" spans="60:74" ht="12.75"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</row>
    <row r="2434" spans="60:74" ht="12.75"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</row>
    <row r="2435" spans="60:74" ht="12.75"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</row>
    <row r="2436" spans="60:74" ht="12.75"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</row>
    <row r="2437" spans="60:74" ht="12.75"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</row>
    <row r="2438" spans="60:74" ht="12.75"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</row>
    <row r="2439" spans="60:74" ht="12.75"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</row>
    <row r="2440" spans="60:74" ht="12.75"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</row>
    <row r="2441" spans="60:74" ht="12.75"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</row>
    <row r="2442" spans="60:74" ht="12.75"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</row>
    <row r="2443" spans="60:74" ht="12.75"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</row>
    <row r="2444" spans="60:74" ht="12.75"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</row>
    <row r="2445" spans="60:74" ht="12.75"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</row>
    <row r="2446" spans="60:74" ht="12.75"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</row>
    <row r="2447" spans="60:74" ht="12.75"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</row>
    <row r="2448" spans="60:74" ht="12.75"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</row>
    <row r="2449" spans="60:74" ht="12.75"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</row>
    <row r="2450" spans="60:74" ht="12.75"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</row>
    <row r="2451" spans="60:74" ht="12.75"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</row>
    <row r="2452" spans="60:74" ht="12.75"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</row>
    <row r="2453" spans="60:74" ht="12.75"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</row>
    <row r="2454" spans="60:74" ht="12.75"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</row>
    <row r="2455" spans="60:74" ht="12.75"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</row>
    <row r="2456" spans="60:74" ht="12.75"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</row>
    <row r="2457" spans="60:74" ht="12.75"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</row>
    <row r="2458" spans="60:74" ht="12.75"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</row>
    <row r="2459" spans="60:74" ht="12.75"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</row>
    <row r="2460" spans="60:74" ht="12.75"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</row>
    <row r="2461" spans="60:74" ht="12.75"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</row>
    <row r="2462" spans="60:74" ht="12.75"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</row>
    <row r="2463" spans="60:74" ht="12.75"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</row>
    <row r="2464" spans="60:74" ht="12.75"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</row>
    <row r="2465" spans="60:74" ht="12.75"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</row>
    <row r="2466" spans="60:74" ht="12.75"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</row>
    <row r="2467" spans="60:74" ht="12.75"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</row>
    <row r="2468" spans="60:74" ht="12.75"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</row>
    <row r="2469" spans="60:74" ht="12.75"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</row>
    <row r="2470" spans="60:74" ht="12.75"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</row>
    <row r="2471" spans="60:74" ht="12.75"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</row>
    <row r="2472" spans="60:74" ht="12.75"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</row>
    <row r="2473" spans="60:74" ht="12.75"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</row>
    <row r="2474" spans="60:74" ht="12.75"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</row>
    <row r="2475" spans="60:74" ht="12.75"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</row>
    <row r="2476" spans="60:74" ht="12.75"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</row>
    <row r="2477" spans="60:74" ht="12.75"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</row>
    <row r="2478" spans="60:74" ht="12.75"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</row>
    <row r="2479" spans="60:74" ht="12.75"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</row>
    <row r="2480" spans="60:74" ht="12.75"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</row>
    <row r="2481" spans="60:74" ht="12.75"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</row>
    <row r="2482" spans="60:74" ht="12.75"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</row>
    <row r="2483" spans="60:74" ht="12.75"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</row>
    <row r="2484" spans="60:74" ht="12.75"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</row>
    <row r="2485" spans="60:74" ht="12.75"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</row>
    <row r="2486" spans="60:74" ht="12.75"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</row>
    <row r="2487" spans="60:74" ht="12.75"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</row>
    <row r="2488" spans="60:74" ht="12.75"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</row>
    <row r="2489" spans="60:74" ht="12.75"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</row>
    <row r="2490" spans="60:74" ht="12.75"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</row>
    <row r="2491" spans="60:74" ht="12.75"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</row>
    <row r="2492" spans="60:74" ht="12.75"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</row>
    <row r="2493" spans="60:74" ht="12.75"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</row>
    <row r="2494" spans="60:74" ht="12.75"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</row>
    <row r="2495" spans="60:74" ht="12.75"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</row>
    <row r="2496" spans="60:74" ht="12.75"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</row>
    <row r="2497" spans="60:74" ht="12.75"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</row>
    <row r="2498" spans="60:74" ht="12.75"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</row>
    <row r="2499" spans="60:74" ht="12.75"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</row>
    <row r="2500" spans="60:74" ht="12.75"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</row>
    <row r="2501" spans="60:74" ht="12.75"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</row>
    <row r="2502" spans="60:74" ht="12.75"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</row>
    <row r="2503" spans="60:74" ht="12.75"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</row>
    <row r="2504" spans="60:74" ht="12.75"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</row>
    <row r="2505" spans="60:74" ht="12.75"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</row>
    <row r="2506" spans="60:74" ht="12.75"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</row>
    <row r="2507" spans="60:74" ht="12.75"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</row>
    <row r="2508" spans="60:74" ht="12.75"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</row>
    <row r="2509" spans="60:74" ht="12.75"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</row>
    <row r="2510" spans="60:74" ht="12.75"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</row>
    <row r="2511" spans="60:74" ht="12.75"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</row>
    <row r="2512" spans="60:74" ht="12.75"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</row>
    <row r="2513" spans="60:74" ht="12.75"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</row>
    <row r="2514" spans="60:74" ht="12.75"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</row>
    <row r="2515" spans="60:74" ht="12.75"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</row>
    <row r="2516" spans="60:74" ht="12.75"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</row>
    <row r="2517" spans="60:74" ht="12.75"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</row>
    <row r="2518" spans="60:74" ht="12.75"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</row>
    <row r="2519" spans="60:74" ht="12.75"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</row>
    <row r="2520" spans="60:74" ht="12.75"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</row>
    <row r="2521" spans="60:74" ht="12.75"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</row>
    <row r="2522" spans="60:74" ht="12.75"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</row>
    <row r="2523" spans="60:74" ht="12.75"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</row>
    <row r="2524" spans="60:74" ht="12.75"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</row>
    <row r="2525" spans="60:74" ht="12.75"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</row>
    <row r="2526" spans="60:74" ht="12.75"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</row>
    <row r="2527" spans="60:74" ht="12.75"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</row>
    <row r="2528" spans="60:74" ht="12.75"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</row>
    <row r="2529" spans="60:74" ht="12.75"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</row>
    <row r="2530" spans="60:74" ht="12.75"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</row>
    <row r="2531" spans="60:74" ht="12.75"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</row>
    <row r="2532" spans="91:95" ht="12.75">
      <c r="CM2532"/>
      <c r="CN2532"/>
      <c r="CO2532"/>
      <c r="CP2532"/>
      <c r="CQ2532"/>
    </row>
    <row r="2534" spans="37:123" ht="12.75">
      <c r="AK2534"/>
      <c r="DF2534" s="1"/>
      <c r="DH2534" s="1"/>
      <c r="DJ2534" s="1"/>
      <c r="DL2534" s="1" t="e">
        <f>AVERAGE(DK193:DL193)</f>
        <v>#DIV/0!</v>
      </c>
      <c r="DN2534" s="1" t="e">
        <f>AVERAGE(DM193:DN193)</f>
        <v>#DIV/0!</v>
      </c>
      <c r="DP2534" s="1"/>
      <c r="DS2534" s="1"/>
    </row>
    <row r="2535" spans="36:123" ht="12.75">
      <c r="AJ2535" s="1"/>
      <c r="AK2535"/>
      <c r="AL2535" s="1"/>
      <c r="AN2535" s="1"/>
      <c r="AP2535" s="1"/>
      <c r="AR2535" s="1"/>
      <c r="AT2535" s="1"/>
      <c r="DF2535" s="1"/>
      <c r="DH2535" s="1"/>
      <c r="DJ2535" s="1"/>
      <c r="DL2535" s="1" t="e">
        <f>AVERAGE(DK196:DL196)</f>
        <v>#DIV/0!</v>
      </c>
      <c r="DN2535" s="1" t="e">
        <f>AVERAGE(DM196:DN196)</f>
        <v>#DIV/0!</v>
      </c>
      <c r="DP2535" s="1"/>
      <c r="DS2535" s="1"/>
    </row>
    <row r="2536" spans="36:123" ht="12.75">
      <c r="AJ2536" s="1"/>
      <c r="AK2536"/>
      <c r="AL2536" s="1"/>
      <c r="AN2536" s="1"/>
      <c r="AP2536" s="1"/>
      <c r="AR2536" s="1"/>
      <c r="AT2536" s="1"/>
      <c r="DF2536" s="1"/>
      <c r="DH2536" s="1"/>
      <c r="DJ2536" s="1"/>
      <c r="DL2536" s="1"/>
      <c r="DN2536" s="1"/>
      <c r="DP2536" s="1"/>
      <c r="DS2536" s="1"/>
    </row>
    <row r="2537" spans="36:123" ht="12.75">
      <c r="AJ2537" s="1"/>
      <c r="AK2537"/>
      <c r="AL2537" s="1"/>
      <c r="AN2537" s="1"/>
      <c r="AP2537" s="1"/>
      <c r="AR2537" s="1"/>
      <c r="AT2537" s="1"/>
      <c r="DF2537" s="1"/>
      <c r="DH2537" s="1"/>
      <c r="DJ2537" s="1"/>
      <c r="DL2537" s="1"/>
      <c r="DN2537" s="1"/>
      <c r="DP2537" s="1"/>
      <c r="DS2537" s="1"/>
    </row>
    <row r="2538" spans="36:123" ht="12.75">
      <c r="AJ2538" s="1"/>
      <c r="AK2538"/>
      <c r="AL2538" s="1"/>
      <c r="AN2538" s="1"/>
      <c r="AP2538" s="1"/>
      <c r="AR2538" s="1"/>
      <c r="AT2538" s="1"/>
      <c r="DF2538" s="1"/>
      <c r="DH2538" s="1"/>
      <c r="DJ2538" s="1"/>
      <c r="DL2538" s="1"/>
      <c r="DN2538" s="1"/>
      <c r="DP2538" s="1"/>
      <c r="DS2538" s="1"/>
    </row>
    <row r="2539" spans="36:123" ht="12.75">
      <c r="AJ2539" s="1"/>
      <c r="AK2539"/>
      <c r="AL2539" s="1"/>
      <c r="AN2539" s="1"/>
      <c r="AP2539" s="1"/>
      <c r="AR2539" s="1"/>
      <c r="AT2539" s="1"/>
      <c r="DF2539" s="1"/>
      <c r="DH2539" s="1"/>
      <c r="DJ2539" s="1"/>
      <c r="DL2539" s="1"/>
      <c r="DN2539" s="1"/>
      <c r="DP2539" s="1"/>
      <c r="DS2539" s="1"/>
    </row>
    <row r="2540" spans="36:123" ht="12.75">
      <c r="AJ2540" s="1"/>
      <c r="AK2540"/>
      <c r="AL2540" s="1"/>
      <c r="AN2540" s="1"/>
      <c r="AP2540" s="1"/>
      <c r="AR2540" s="1"/>
      <c r="AT2540" s="1"/>
      <c r="DF2540" s="1"/>
      <c r="DH2540" s="1"/>
      <c r="DJ2540" s="1"/>
      <c r="DL2540" s="1"/>
      <c r="DN2540" s="1"/>
      <c r="DP2540" s="1"/>
      <c r="DS2540" s="1"/>
    </row>
    <row r="2541" spans="36:123" ht="12.75">
      <c r="AJ2541" s="1"/>
      <c r="AK2541"/>
      <c r="AL2541" s="1"/>
      <c r="AN2541" s="1"/>
      <c r="AP2541" s="1"/>
      <c r="AR2541" s="1"/>
      <c r="AT2541" s="1"/>
      <c r="DF2541" s="1"/>
      <c r="DH2541" s="1"/>
      <c r="DJ2541" s="1"/>
      <c r="DL2541" s="1"/>
      <c r="DN2541" s="1"/>
      <c r="DP2541" s="1"/>
      <c r="DS2541" s="1"/>
    </row>
    <row r="2542" spans="36:123" ht="12.75">
      <c r="AJ2542" s="1"/>
      <c r="AK2542"/>
      <c r="AL2542" s="1"/>
      <c r="AN2542" s="1"/>
      <c r="AP2542" s="1"/>
      <c r="AR2542" s="1"/>
      <c r="AT2542" s="1"/>
      <c r="DF2542" s="1"/>
      <c r="DH2542" s="1"/>
      <c r="DJ2542" s="1"/>
      <c r="DL2542" s="1"/>
      <c r="DN2542" s="1"/>
      <c r="DP2542" s="1"/>
      <c r="DS2542" s="1"/>
    </row>
    <row r="2543" spans="36:120" ht="12.75">
      <c r="AJ2543" s="1"/>
      <c r="AK2543"/>
      <c r="AL2543" s="1"/>
      <c r="AN2543" s="1"/>
      <c r="AP2543" s="1"/>
      <c r="AR2543" s="1"/>
      <c r="AT2543" s="1"/>
      <c r="DF2543" s="1"/>
      <c r="DH2543" s="1"/>
      <c r="DJ2543" s="1"/>
      <c r="DL2543" s="1"/>
      <c r="DN2543" s="1"/>
      <c r="DP2543" s="1"/>
    </row>
    <row r="2544" spans="36:120" ht="12.75">
      <c r="AJ2544" s="1"/>
      <c r="AK2544"/>
      <c r="AL2544" s="1"/>
      <c r="AN2544" s="1"/>
      <c r="AP2544" s="1"/>
      <c r="AR2544" s="1"/>
      <c r="AT2544" s="1"/>
      <c r="DF2544" s="1"/>
      <c r="DH2544" s="1"/>
      <c r="DJ2544" s="1"/>
      <c r="DL2544" s="1"/>
      <c r="DN2544" s="1"/>
      <c r="DP2544" s="1"/>
    </row>
    <row r="2545" spans="36:120" ht="12.75">
      <c r="AJ2545" s="1"/>
      <c r="AK2545"/>
      <c r="AL2545" s="1"/>
      <c r="AN2545" s="1"/>
      <c r="AP2545" s="1"/>
      <c r="AR2545" s="1"/>
      <c r="AT2545" s="1"/>
      <c r="DF2545" s="1"/>
      <c r="DH2545" s="1"/>
      <c r="DJ2545" s="1"/>
      <c r="DL2545" s="1"/>
      <c r="DN2545" s="1"/>
      <c r="DP2545" s="1"/>
    </row>
    <row r="2546" spans="36:120" ht="12.75">
      <c r="AJ2546" s="1"/>
      <c r="AK2546"/>
      <c r="AL2546" s="1"/>
      <c r="AN2546" s="1"/>
      <c r="AP2546" s="1"/>
      <c r="AR2546" s="1"/>
      <c r="AT2546" s="1"/>
      <c r="DF2546" s="1"/>
      <c r="DH2546" s="1"/>
      <c r="DJ2546" s="1"/>
      <c r="DL2546" s="1"/>
      <c r="DN2546" s="1"/>
      <c r="DP2546" s="1"/>
    </row>
    <row r="2547" spans="36:120" ht="12.75">
      <c r="AJ2547" s="1"/>
      <c r="AK2547"/>
      <c r="AL2547" s="1"/>
      <c r="AN2547" s="1"/>
      <c r="AP2547" s="1"/>
      <c r="AR2547" s="1"/>
      <c r="AT2547" s="1"/>
      <c r="DF2547" s="1"/>
      <c r="DH2547" s="1"/>
      <c r="DJ2547" s="1"/>
      <c r="DL2547" s="1"/>
      <c r="DN2547" s="1"/>
      <c r="DP2547" s="1"/>
    </row>
    <row r="2548" spans="36:120" ht="12.75">
      <c r="AJ2548" s="1"/>
      <c r="AK2548"/>
      <c r="AL2548" s="1"/>
      <c r="AN2548" s="1"/>
      <c r="AP2548" s="1"/>
      <c r="AR2548" s="1"/>
      <c r="AT2548" s="1"/>
      <c r="DF2548" s="1"/>
      <c r="DH2548" s="1"/>
      <c r="DJ2548" s="1"/>
      <c r="DL2548" s="1"/>
      <c r="DN2548" s="1"/>
      <c r="DP2548" s="1"/>
    </row>
    <row r="2549" spans="36:120" ht="12.75">
      <c r="AJ2549" s="1"/>
      <c r="AK2549"/>
      <c r="AL2549" s="1"/>
      <c r="AN2549" s="1"/>
      <c r="AP2549" s="1"/>
      <c r="AR2549" s="1"/>
      <c r="AT2549" s="1"/>
      <c r="DF2549" s="1"/>
      <c r="DH2549" s="1"/>
      <c r="DJ2549" s="1"/>
      <c r="DL2549" s="1"/>
      <c r="DN2549" s="1"/>
      <c r="DP2549" s="1"/>
    </row>
    <row r="2550" spans="36:110" ht="12.75">
      <c r="AJ2550" s="1"/>
      <c r="AK2550"/>
      <c r="AL2550" s="1"/>
      <c r="AN2550" s="1"/>
      <c r="AP2550" s="1"/>
      <c r="AR2550" s="1"/>
      <c r="AT2550" s="1"/>
      <c r="DF2550" s="1"/>
    </row>
    <row r="2551" spans="36:110" ht="12.75">
      <c r="AJ2551" s="1"/>
      <c r="AK2551"/>
      <c r="AL2551" s="1"/>
      <c r="AN2551" s="1"/>
      <c r="AP2551" s="1"/>
      <c r="AR2551" s="1"/>
      <c r="AT2551" s="1"/>
      <c r="DF2551" s="1"/>
    </row>
    <row r="2552" spans="36:110" ht="12.75">
      <c r="AJ2552" s="1"/>
      <c r="AK2552"/>
      <c r="AL2552" s="1"/>
      <c r="AN2552" s="1"/>
      <c r="AP2552" s="1"/>
      <c r="AR2552" s="1"/>
      <c r="AT2552" s="1"/>
      <c r="DF2552" s="1"/>
    </row>
    <row r="2553" spans="36:110" ht="12.75">
      <c r="AJ2553" s="1"/>
      <c r="AK2553"/>
      <c r="AL2553" s="1"/>
      <c r="AN2553" s="1"/>
      <c r="AP2553" s="1"/>
      <c r="AR2553" s="1"/>
      <c r="AT2553" s="1"/>
      <c r="DF2553" s="1"/>
    </row>
    <row r="2554" spans="36:110" ht="12.75">
      <c r="AJ2554" s="1"/>
      <c r="AK2554"/>
      <c r="AL2554" s="1"/>
      <c r="AN2554" s="1"/>
      <c r="AP2554" s="1"/>
      <c r="AR2554" s="1"/>
      <c r="AT2554" s="1"/>
      <c r="DF2554" s="1"/>
    </row>
    <row r="2555" spans="36:110" ht="12.75">
      <c r="AJ2555" s="1"/>
      <c r="AK2555"/>
      <c r="AL2555" s="1"/>
      <c r="AN2555" s="1"/>
      <c r="AP2555" s="1"/>
      <c r="AR2555" s="1"/>
      <c r="AT2555" s="1"/>
      <c r="DF2555" s="1"/>
    </row>
    <row r="2556" spans="36:110" ht="12.75">
      <c r="AJ2556" s="1"/>
      <c r="AK2556"/>
      <c r="AL2556" s="1"/>
      <c r="AN2556" s="1"/>
      <c r="AP2556" s="1"/>
      <c r="AR2556" s="1"/>
      <c r="AT2556" s="1"/>
      <c r="DF2556" s="1"/>
    </row>
    <row r="2557" spans="36:110" ht="12.75">
      <c r="AJ2557" s="1"/>
      <c r="AK2557"/>
      <c r="AL2557" s="1"/>
      <c r="AN2557" s="1"/>
      <c r="AP2557" s="1"/>
      <c r="AR2557" s="1"/>
      <c r="AT2557" s="1"/>
      <c r="DF2557" s="1"/>
    </row>
    <row r="2558" spans="36:110" ht="12.75">
      <c r="AJ2558" s="1"/>
      <c r="AK2558"/>
      <c r="AL2558" s="1"/>
      <c r="AN2558" s="1"/>
      <c r="AP2558" s="1"/>
      <c r="AR2558" s="1"/>
      <c r="AT2558" s="1"/>
      <c r="DF2558" s="1"/>
    </row>
    <row r="2559" spans="36:110" ht="12.75">
      <c r="AJ2559" s="1"/>
      <c r="AK2559"/>
      <c r="AL2559" s="1"/>
      <c r="AN2559" s="1"/>
      <c r="AP2559" s="1"/>
      <c r="AR2559" s="1"/>
      <c r="AT2559" s="1"/>
      <c r="DF2559" s="1"/>
    </row>
    <row r="2560" spans="36:110" ht="12.75">
      <c r="AJ2560" s="1"/>
      <c r="AK2560"/>
      <c r="AL2560" s="1"/>
      <c r="AN2560" s="1"/>
      <c r="AP2560" s="1"/>
      <c r="AR2560" s="1"/>
      <c r="AT2560" s="1"/>
      <c r="DF2560" s="1"/>
    </row>
    <row r="2561" spans="36:110" ht="12.75">
      <c r="AJ2561" s="1"/>
      <c r="AK2561"/>
      <c r="AL2561" s="1"/>
      <c r="AN2561" s="1"/>
      <c r="AP2561" s="1"/>
      <c r="AR2561" s="1"/>
      <c r="AT2561" s="1"/>
      <c r="DF2561" s="1"/>
    </row>
    <row r="2562" spans="36:110" ht="12.75">
      <c r="AJ2562" s="1"/>
      <c r="AK2562"/>
      <c r="AL2562" s="1"/>
      <c r="AN2562" s="1"/>
      <c r="AP2562" s="1"/>
      <c r="AR2562" s="1"/>
      <c r="AT2562" s="1"/>
      <c r="DF2562" s="1"/>
    </row>
    <row r="2563" spans="36:110" ht="12.75">
      <c r="AJ2563" s="1"/>
      <c r="AK2563"/>
      <c r="AL2563" s="1"/>
      <c r="AN2563" s="1"/>
      <c r="AP2563" s="1"/>
      <c r="AR2563" s="1"/>
      <c r="AT2563" s="1"/>
      <c r="DF2563" s="1"/>
    </row>
    <row r="2564" spans="36:46" ht="12.75">
      <c r="AJ2564" s="1"/>
      <c r="AK2564"/>
      <c r="AL2564" s="1"/>
      <c r="AN2564" s="1"/>
      <c r="AP2564" s="1"/>
      <c r="AR2564" s="1"/>
      <c r="AT2564" s="1"/>
    </row>
    <row r="2565" spans="36:46" ht="12.75">
      <c r="AJ2565" s="1"/>
      <c r="AK2565"/>
      <c r="AL2565" s="1"/>
      <c r="AN2565" s="1"/>
      <c r="AP2565" s="1"/>
      <c r="AR2565" s="1"/>
      <c r="AT2565" s="1"/>
    </row>
    <row r="2566" spans="36:46" ht="12.75">
      <c r="AJ2566" s="1"/>
      <c r="AK2566"/>
      <c r="AL2566" s="1"/>
      <c r="AN2566" s="1"/>
      <c r="AP2566" s="1"/>
      <c r="AR2566" s="1"/>
      <c r="AT2566" s="1"/>
    </row>
    <row r="2567" spans="36:46" ht="12.75">
      <c r="AJ2567" s="1"/>
      <c r="AK2567"/>
      <c r="AL2567" s="1"/>
      <c r="AN2567" s="1"/>
      <c r="AP2567" s="1"/>
      <c r="AR2567" s="1"/>
      <c r="AT2567" s="1"/>
    </row>
    <row r="2568" spans="36:46" ht="12.75">
      <c r="AJ2568" s="1"/>
      <c r="AK2568"/>
      <c r="AL2568" s="1"/>
      <c r="AN2568" s="1"/>
      <c r="AP2568" s="1"/>
      <c r="AR2568" s="1"/>
      <c r="AT2568" s="1"/>
    </row>
    <row r="2569" spans="36:46" ht="12.75">
      <c r="AJ2569" s="1"/>
      <c r="AK2569"/>
      <c r="AL2569" s="1"/>
      <c r="AN2569" s="1"/>
      <c r="AP2569" s="1"/>
      <c r="AR2569" s="1"/>
      <c r="AT2569" s="1"/>
    </row>
    <row r="2570" spans="36:46" ht="12.75">
      <c r="AJ2570" s="1"/>
      <c r="AK2570"/>
      <c r="AL2570" s="1"/>
      <c r="AN2570" s="1"/>
      <c r="AP2570" s="1"/>
      <c r="AR2570" s="1"/>
      <c r="AT2570" s="1"/>
    </row>
    <row r="2571" spans="36:46" ht="12.75">
      <c r="AJ2571" s="1"/>
      <c r="AK2571"/>
      <c r="AL2571" s="1"/>
      <c r="AN2571" s="1"/>
      <c r="AP2571" s="1"/>
      <c r="AR2571" s="1"/>
      <c r="AT2571" s="1"/>
    </row>
    <row r="2572" spans="36:46" ht="12.75">
      <c r="AJ2572" s="1"/>
      <c r="AK2572"/>
      <c r="AL2572" s="1"/>
      <c r="AN2572" s="1"/>
      <c r="AP2572" s="1"/>
      <c r="AR2572" s="1"/>
      <c r="AT2572" s="1"/>
    </row>
    <row r="2573" spans="36:46" ht="12.75">
      <c r="AJ2573" s="1"/>
      <c r="AK2573"/>
      <c r="AL2573" s="1"/>
      <c r="AN2573" s="1"/>
      <c r="AP2573" s="1"/>
      <c r="AR2573" s="1"/>
      <c r="AT2573" s="1"/>
    </row>
    <row r="2574" spans="36:46" ht="12.75">
      <c r="AJ2574" s="1"/>
      <c r="AK2574"/>
      <c r="AL2574" s="1"/>
      <c r="AN2574" s="1"/>
      <c r="AP2574" s="1"/>
      <c r="AR2574" s="1"/>
      <c r="AT2574" s="1"/>
    </row>
    <row r="2575" spans="36:46" ht="12.75">
      <c r="AJ2575" s="1"/>
      <c r="AK2575"/>
      <c r="AL2575" s="1"/>
      <c r="AN2575" s="1"/>
      <c r="AP2575" s="1"/>
      <c r="AR2575" s="1"/>
      <c r="AT2575" s="1"/>
    </row>
    <row r="2576" spans="36:46" ht="12.75">
      <c r="AJ2576" s="1"/>
      <c r="AK2576"/>
      <c r="AL2576" s="1"/>
      <c r="AN2576" s="1"/>
      <c r="AP2576" s="1"/>
      <c r="AR2576" s="1"/>
      <c r="AT2576" s="1"/>
    </row>
    <row r="2577" spans="36:46" ht="12.75">
      <c r="AJ2577" s="1"/>
      <c r="AK2577"/>
      <c r="AL2577" s="1"/>
      <c r="AN2577" s="1"/>
      <c r="AP2577" s="1"/>
      <c r="AR2577" s="1"/>
      <c r="AT2577" s="1"/>
    </row>
    <row r="2578" spans="36:46" ht="12.75">
      <c r="AJ2578" s="1"/>
      <c r="AK2578"/>
      <c r="AL2578" s="1"/>
      <c r="AN2578" s="1"/>
      <c r="AP2578" s="1"/>
      <c r="AR2578" s="1"/>
      <c r="AT2578" s="1"/>
    </row>
    <row r="2579" spans="36:46" ht="12.75">
      <c r="AJ2579" s="1"/>
      <c r="AK2579"/>
      <c r="AL2579" s="1"/>
      <c r="AN2579" s="1"/>
      <c r="AP2579" s="1"/>
      <c r="AR2579" s="1"/>
      <c r="AT2579" s="1"/>
    </row>
    <row r="2580" spans="36:46" ht="12.75">
      <c r="AJ2580" s="1"/>
      <c r="AK2580"/>
      <c r="AL2580" s="1"/>
      <c r="AN2580" s="1"/>
      <c r="AP2580" s="1"/>
      <c r="AR2580" s="1"/>
      <c r="AT2580" s="1"/>
    </row>
    <row r="2581" spans="36:46" ht="12.75">
      <c r="AJ2581" s="1"/>
      <c r="AK2581"/>
      <c r="AL2581" s="1"/>
      <c r="AN2581" s="1"/>
      <c r="AP2581" s="1"/>
      <c r="AR2581" s="1"/>
      <c r="AT2581" s="1"/>
    </row>
    <row r="2582" spans="36:46" ht="12.75">
      <c r="AJ2582" s="1"/>
      <c r="AK2582"/>
      <c r="AL2582" s="1"/>
      <c r="AN2582" s="1"/>
      <c r="AP2582" s="1"/>
      <c r="AR2582" s="1"/>
      <c r="AT2582" s="1"/>
    </row>
    <row r="2583" spans="36:46" ht="12.75">
      <c r="AJ2583" s="1"/>
      <c r="AK2583"/>
      <c r="AL2583" s="1"/>
      <c r="AN2583" s="1"/>
      <c r="AP2583" s="1"/>
      <c r="AR2583" s="1"/>
      <c r="AT2583" s="1"/>
    </row>
    <row r="2584" spans="36:46" ht="12.75">
      <c r="AJ2584" s="1"/>
      <c r="AK2584"/>
      <c r="AL2584" s="1"/>
      <c r="AN2584" s="1"/>
      <c r="AP2584" s="1"/>
      <c r="AR2584" s="1"/>
      <c r="AT2584" s="1"/>
    </row>
    <row r="2585" spans="36:46" ht="12.75">
      <c r="AJ2585" s="1"/>
      <c r="AK2585"/>
      <c r="AL2585" s="1"/>
      <c r="AN2585" s="1"/>
      <c r="AP2585" s="1"/>
      <c r="AR2585" s="1"/>
      <c r="AT2585" s="1"/>
    </row>
  </sheetData>
  <sheetProtection/>
  <autoFilter ref="A1:FH197"/>
  <printOptions horizontalCentered="1" verticalCentered="1"/>
  <pageMargins left="0.25" right="0.25" top="0.75" bottom="0.75" header="0.3" footer="0.3"/>
  <pageSetup fitToHeight="1" fitToWidth="1" horizontalDpi="600" verticalDpi="600" orientation="landscape" scale="14" r:id="rId1"/>
  <headerFooter alignWithMargins="0">
    <oddHeader>&amp;CEficiencia terminal de los PE de la UAEH
Fuente: Área de Estadísticas de la DGP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UAEH</cp:lastModifiedBy>
  <cp:lastPrinted>2020-02-21T19:05:43Z</cp:lastPrinted>
  <dcterms:created xsi:type="dcterms:W3CDTF">2005-03-30T18:28:49Z</dcterms:created>
  <dcterms:modified xsi:type="dcterms:W3CDTF">2021-02-22T19:15:16Z</dcterms:modified>
  <cp:category/>
  <cp:version/>
  <cp:contentType/>
  <cp:contentStatus/>
</cp:coreProperties>
</file>